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4240" windowHeight="12405" activeTab="1"/>
  </bookViews>
  <sheets>
    <sheet name="README" sheetId="7" r:id="rId1"/>
    <sheet name="Bilanz-bilan" sheetId="4" r:id="rId2"/>
    <sheet name="Daten" sheetId="8" state="hidden" r:id="rId3"/>
    <sheet name="budget_partiel" sheetId="11" state="hidden" r:id="rId4"/>
    <sheet name="Texte" sheetId="5" state="hidden" r:id="rId5"/>
    <sheet name="Korr" sheetId="9" state="hidden" r:id="rId6"/>
  </sheets>
  <definedNames>
    <definedName name="_xlnm.Print_Area" localSheetId="1">'Bilanz-bilan'!$B$2:$S$186</definedName>
    <definedName name="_xlnm.Print_Area" localSheetId="3">budget_partiel!$A$1:$M$57</definedName>
    <definedName name="_xlnm.Print_Area" localSheetId="0">README!$A$1:$X$97</definedName>
    <definedName name="AusblendSpalten" localSheetId="1">'Bilanz-bilan'!$T:$AF</definedName>
    <definedName name="AusblendSpalten" localSheetId="0">README!$I:$O</definedName>
    <definedName name="AusblendZeilen" localSheetId="1">'Bilanz-bilan'!$258:$315</definedName>
    <definedName name="ID">"nicht identifiziert"</definedName>
    <definedName name="MuKuCoverTopLeft" localSheetId="1">'Bilanz-bilan'!$O$93</definedName>
    <definedName name="SprachIdx" localSheetId="4">Texte!$A$2</definedName>
    <definedName name="Startzelle" localSheetId="1">'Bilanz-bilan'!$A$1</definedName>
    <definedName name="Startzelle" localSheetId="3">budget_partiel!$A$1</definedName>
    <definedName name="StartZelle" localSheetId="5">Korr!A1</definedName>
    <definedName name="Startzelle" localSheetId="0">README!$A$1</definedName>
    <definedName name="Startzelle" localSheetId="4">Texte!$A$1</definedName>
    <definedName name="Z_AB7369C7_DE08_4AD5_A530_2D676F998F11_.wvu.Cols" localSheetId="1" hidden="1">'Bilanz-bilan'!$AH:$AJ</definedName>
    <definedName name="Z_AB7369C7_DE08_4AD5_A530_2D676F998F11_.wvu.Cols" localSheetId="2" hidden="1">Daten!#REF!</definedName>
    <definedName name="Z_AB7369C7_DE08_4AD5_A530_2D676F998F11_.wvu.PrintArea" localSheetId="1" hidden="1">'Bilanz-bilan'!$A$2:$AJ$185</definedName>
    <definedName name="Z_AB7369C7_DE08_4AD5_A530_2D676F998F11_.wvu.PrintArea" localSheetId="2" hidden="1">Daten!$A$1:$F$7</definedName>
    <definedName name="Z_AB7369C7_DE08_4AD5_A530_2D676F998F11_.wvu.PrintTitles" localSheetId="2" hidden="1">Daten!$4:$7</definedName>
  </definedNames>
  <calcPr calcId="145621"/>
</workbook>
</file>

<file path=xl/calcChain.xml><?xml version="1.0" encoding="utf-8"?>
<calcChain xmlns="http://schemas.openxmlformats.org/spreadsheetml/2006/main">
  <c r="I131" i="4" l="1"/>
  <c r="I132" i="4"/>
  <c r="L98" i="4"/>
  <c r="V98" i="4" s="1"/>
  <c r="S60" i="4"/>
  <c r="S59" i="4"/>
  <c r="S41" i="4"/>
  <c r="J132" i="4"/>
  <c r="V132" i="4" s="1"/>
  <c r="L99" i="4"/>
  <c r="V99" i="4" s="1"/>
  <c r="A2" i="5"/>
  <c r="A140" i="5" s="1"/>
  <c r="A277" i="4" s="1"/>
  <c r="Y48" i="4"/>
  <c r="Y45" i="4"/>
  <c r="J72" i="4"/>
  <c r="L72" i="4" s="1"/>
  <c r="M72" i="4" s="1"/>
  <c r="J73" i="4"/>
  <c r="J74" i="4"/>
  <c r="L74" i="4" s="1"/>
  <c r="M74" i="4" s="1"/>
  <c r="J71" i="4"/>
  <c r="L71" i="4"/>
  <c r="J76" i="4"/>
  <c r="L76" i="4"/>
  <c r="N76" i="4" s="1"/>
  <c r="J77" i="4"/>
  <c r="L77" i="4" s="1"/>
  <c r="N77" i="4" s="1"/>
  <c r="J78" i="4"/>
  <c r="L78" i="4"/>
  <c r="N78" i="4" s="1"/>
  <c r="J75" i="4"/>
  <c r="L75" i="4" s="1"/>
  <c r="N75" i="4" s="1"/>
  <c r="K136" i="4"/>
  <c r="K138" i="4"/>
  <c r="K143" i="4"/>
  <c r="L97" i="4"/>
  <c r="L100" i="4"/>
  <c r="L101" i="4"/>
  <c r="V101" i="4" s="1"/>
  <c r="V102" i="4"/>
  <c r="V103" i="4"/>
  <c r="Q170" i="4"/>
  <c r="Q169" i="4"/>
  <c r="Q174" i="4" s="1"/>
  <c r="J48" i="4"/>
  <c r="L48" i="4" s="1"/>
  <c r="Q48" i="4"/>
  <c r="Q49" i="4"/>
  <c r="Q50" i="4"/>
  <c r="Q51" i="4"/>
  <c r="Q52" i="4"/>
  <c r="Q53" i="4"/>
  <c r="R170" i="4"/>
  <c r="R174" i="4" s="1"/>
  <c r="J42" i="4"/>
  <c r="L42" i="4"/>
  <c r="P48" i="4"/>
  <c r="I126" i="4"/>
  <c r="J126" i="4"/>
  <c r="J131" i="4"/>
  <c r="Y51" i="4"/>
  <c r="Y52" i="4"/>
  <c r="U33" i="4"/>
  <c r="U34" i="4"/>
  <c r="J41" i="4"/>
  <c r="L41" i="4"/>
  <c r="J43" i="4"/>
  <c r="L43" i="4" s="1"/>
  <c r="J44" i="4"/>
  <c r="L44" i="4" s="1"/>
  <c r="L83" i="4" s="1"/>
  <c r="N86" i="4" s="1"/>
  <c r="F166" i="4" s="1"/>
  <c r="J45" i="4"/>
  <c r="L45" i="4" s="1"/>
  <c r="J46" i="4"/>
  <c r="L46" i="4" s="1"/>
  <c r="J47" i="4"/>
  <c r="L47" i="4" s="1"/>
  <c r="J49" i="4"/>
  <c r="L49" i="4" s="1"/>
  <c r="O167" i="4" s="1"/>
  <c r="J50" i="4"/>
  <c r="L50" i="4" s="1"/>
  <c r="J51" i="4"/>
  <c r="L51" i="4" s="1"/>
  <c r="P41" i="4"/>
  <c r="Q41" i="4"/>
  <c r="Q42" i="4"/>
  <c r="Q43" i="4"/>
  <c r="Q44" i="4"/>
  <c r="Q45" i="4"/>
  <c r="Q46" i="4"/>
  <c r="Q47" i="4"/>
  <c r="Q54" i="4"/>
  <c r="Q55" i="4"/>
  <c r="Q56" i="4"/>
  <c r="Q57" i="4"/>
  <c r="P59" i="4"/>
  <c r="Q59" i="4"/>
  <c r="Q60" i="4"/>
  <c r="Q61" i="4"/>
  <c r="Q62" i="4"/>
  <c r="Q63" i="4"/>
  <c r="Q64" i="4"/>
  <c r="M41" i="4"/>
  <c r="M65" i="4" s="1"/>
  <c r="N85" i="4" s="1"/>
  <c r="L170" i="4" s="1"/>
  <c r="L174" i="4" s="1"/>
  <c r="N90" i="4"/>
  <c r="L171" i="4"/>
  <c r="P49" i="4"/>
  <c r="I133" i="4"/>
  <c r="J133" i="4"/>
  <c r="V133" i="4"/>
  <c r="J60" i="4"/>
  <c r="L60" i="4" s="1"/>
  <c r="J52" i="4"/>
  <c r="L52" i="4"/>
  <c r="J53" i="4"/>
  <c r="L53" i="4" s="1"/>
  <c r="J54" i="4"/>
  <c r="L54" i="4"/>
  <c r="J55" i="4"/>
  <c r="L55" i="4" s="1"/>
  <c r="J56" i="4"/>
  <c r="L56" i="4"/>
  <c r="J57" i="4"/>
  <c r="L57" i="4" s="1"/>
  <c r="J59" i="4"/>
  <c r="L59" i="4"/>
  <c r="J61" i="4"/>
  <c r="L61" i="4" s="1"/>
  <c r="J62" i="4"/>
  <c r="L62" i="4"/>
  <c r="J63" i="4"/>
  <c r="L63" i="4" s="1"/>
  <c r="J64" i="4"/>
  <c r="L64" i="4"/>
  <c r="I127" i="4"/>
  <c r="I128" i="4"/>
  <c r="I129" i="4"/>
  <c r="I130" i="4"/>
  <c r="I149" i="4" s="1"/>
  <c r="I134" i="4"/>
  <c r="I135" i="4"/>
  <c r="I136" i="4"/>
  <c r="I137" i="4"/>
  <c r="J127" i="4"/>
  <c r="J128" i="4"/>
  <c r="J129" i="4"/>
  <c r="J130" i="4"/>
  <c r="J134" i="4"/>
  <c r="Q134" i="4" s="1"/>
  <c r="J135" i="4"/>
  <c r="Q135" i="4"/>
  <c r="J136" i="4"/>
  <c r="J137" i="4"/>
  <c r="Q137" i="4"/>
  <c r="J138" i="4"/>
  <c r="V138" i="4" s="1"/>
  <c r="J139" i="4"/>
  <c r="J140" i="4"/>
  <c r="V140" i="4"/>
  <c r="J141" i="4"/>
  <c r="J142" i="4"/>
  <c r="Q142" i="4"/>
  <c r="J143" i="4"/>
  <c r="J144" i="4"/>
  <c r="Q144" i="4" s="1"/>
  <c r="J145" i="4"/>
  <c r="J146" i="4"/>
  <c r="Q146" i="4" s="1"/>
  <c r="J147" i="4"/>
  <c r="L104" i="4"/>
  <c r="L105" i="4"/>
  <c r="L106" i="4"/>
  <c r="L107" i="4"/>
  <c r="L108" i="4"/>
  <c r="L109" i="4"/>
  <c r="L110" i="4"/>
  <c r="L111" i="4"/>
  <c r="Q102" i="4"/>
  <c r="Q103" i="4"/>
  <c r="R65" i="4"/>
  <c r="P42" i="4"/>
  <c r="P43" i="4"/>
  <c r="P44" i="4"/>
  <c r="P45" i="4"/>
  <c r="P46" i="4"/>
  <c r="P47" i="4"/>
  <c r="P50" i="4"/>
  <c r="P51" i="4"/>
  <c r="P52" i="4"/>
  <c r="P53" i="4"/>
  <c r="P54" i="4"/>
  <c r="P55" i="4"/>
  <c r="P56" i="4"/>
  <c r="P57" i="4"/>
  <c r="Y54" i="4"/>
  <c r="Y55" i="4"/>
  <c r="P60" i="4"/>
  <c r="P61" i="4"/>
  <c r="P62" i="4"/>
  <c r="P63" i="4"/>
  <c r="P64" i="4"/>
  <c r="AD163" i="4"/>
  <c r="AD164" i="4"/>
  <c r="AD165" i="4"/>
  <c r="AD166" i="4"/>
  <c r="AD167" i="4"/>
  <c r="AD162" i="4"/>
  <c r="C206" i="4"/>
  <c r="S77" i="4"/>
  <c r="S78" i="4"/>
  <c r="S76" i="4"/>
  <c r="J114" i="4"/>
  <c r="H36" i="11" s="1"/>
  <c r="K61" i="4"/>
  <c r="H18" i="11"/>
  <c r="H22" i="11"/>
  <c r="H26" i="11"/>
  <c r="H32" i="11"/>
  <c r="H34" i="11"/>
  <c r="H38" i="11"/>
  <c r="J115" i="4"/>
  <c r="Y117" i="4"/>
  <c r="Y120" i="4" s="1"/>
  <c r="Y118" i="4"/>
  <c r="Y115" i="4"/>
  <c r="Y116" i="4"/>
  <c r="M175" i="4"/>
  <c r="F13" i="8"/>
  <c r="F17" i="8"/>
  <c r="F18" i="8"/>
  <c r="Y104" i="4"/>
  <c r="Y105" i="4"/>
  <c r="Y106" i="4"/>
  <c r="Y107" i="4"/>
  <c r="Y108" i="4"/>
  <c r="Y109" i="4"/>
  <c r="Y110" i="4"/>
  <c r="Y111" i="4"/>
  <c r="AF169" i="4"/>
  <c r="AE169" i="4"/>
  <c r="K57" i="4"/>
  <c r="F57" i="4"/>
  <c r="K64" i="4"/>
  <c r="F64" i="4"/>
  <c r="K62" i="4"/>
  <c r="K63" i="4"/>
  <c r="F34" i="8"/>
  <c r="F36" i="8"/>
  <c r="F35" i="8"/>
  <c r="K56" i="4"/>
  <c r="K55" i="4"/>
  <c r="K54" i="4"/>
  <c r="F61" i="4"/>
  <c r="F62" i="4"/>
  <c r="F63" i="4"/>
  <c r="F54" i="4"/>
  <c r="F55" i="4"/>
  <c r="F56" i="4"/>
  <c r="F76" i="4"/>
  <c r="F77" i="4"/>
  <c r="F78" i="4"/>
  <c r="A260" i="5"/>
  <c r="U11" i="4"/>
  <c r="L73" i="4"/>
  <c r="M73" i="4"/>
  <c r="K112" i="4"/>
  <c r="Y112" i="4" s="1"/>
  <c r="V142" i="4"/>
  <c r="Q140" i="4"/>
  <c r="V135" i="4"/>
  <c r="Q101" i="4"/>
  <c r="A268" i="5"/>
  <c r="B130" i="4" s="1"/>
  <c r="A408" i="5"/>
  <c r="B32" i="11" s="1"/>
  <c r="A398" i="5"/>
  <c r="B12" i="11" s="1"/>
  <c r="A103" i="5"/>
  <c r="L70" i="4" s="1"/>
  <c r="A20" i="5"/>
  <c r="B20" i="7" s="1"/>
  <c r="A267" i="5"/>
  <c r="B129" i="4" s="1"/>
  <c r="A199" i="5"/>
  <c r="L95" i="4" s="1"/>
  <c r="A317" i="5"/>
  <c r="J162" i="4" s="1"/>
  <c r="A340" i="5"/>
  <c r="O178" i="4" s="1"/>
  <c r="A266" i="5"/>
  <c r="B128" i="4" s="1"/>
  <c r="A343" i="5"/>
  <c r="O181" i="4" s="1"/>
  <c r="A306" i="5"/>
  <c r="B169" i="4" s="1"/>
  <c r="A6" i="5"/>
  <c r="R3" i="4" s="1"/>
  <c r="A339" i="5"/>
  <c r="R162" i="4" s="1"/>
  <c r="A24" i="5"/>
  <c r="B24" i="7" s="1"/>
  <c r="K153" i="4"/>
  <c r="L153" i="4" s="1"/>
  <c r="A285" i="5"/>
  <c r="B147" i="4" s="1"/>
  <c r="A300" i="5"/>
  <c r="A186" i="5"/>
  <c r="B85" i="4"/>
  <c r="A383" i="5"/>
  <c r="A61" i="5"/>
  <c r="B11" i="4" s="1"/>
  <c r="L149" i="4"/>
  <c r="J151" i="4"/>
  <c r="L151" i="4" s="1"/>
  <c r="V137" i="4"/>
  <c r="Q132" i="4"/>
  <c r="Q91" i="4"/>
  <c r="AI173" i="4"/>
  <c r="A259" i="5"/>
  <c r="A156" i="5"/>
  <c r="A293" i="4" s="1"/>
  <c r="A294" i="5"/>
  <c r="B158" i="4" s="1"/>
  <c r="A53" i="5"/>
  <c r="D2" i="4" s="1"/>
  <c r="A243" i="5"/>
  <c r="O93" i="4" s="1"/>
  <c r="A414" i="5"/>
  <c r="I26" i="11" s="1"/>
  <c r="A132" i="5"/>
  <c r="A267" i="4" s="1"/>
  <c r="A265" i="5"/>
  <c r="B127" i="4" s="1"/>
  <c r="A175" i="5"/>
  <c r="B54" i="8" s="1"/>
  <c r="W78" i="4" s="1"/>
  <c r="A385" i="5"/>
  <c r="A253" i="5"/>
  <c r="F125" i="4" s="1"/>
  <c r="A39" i="5"/>
  <c r="A57" i="5"/>
  <c r="B8" i="4"/>
  <c r="A189" i="5"/>
  <c r="B89" i="4"/>
  <c r="A58" i="5"/>
  <c r="M8" i="4"/>
  <c r="A50" i="5"/>
  <c r="B46" i="7"/>
  <c r="A277" i="5"/>
  <c r="B139" i="4"/>
  <c r="A381" i="5"/>
  <c r="A409" i="5"/>
  <c r="B34" i="11" s="1"/>
  <c r="A160" i="5"/>
  <c r="B42" i="8" s="1"/>
  <c r="A297" i="4"/>
  <c r="A148" i="5"/>
  <c r="B30" i="8"/>
  <c r="A124" i="5"/>
  <c r="A259" i="4"/>
  <c r="A99" i="5"/>
  <c r="A10" i="5"/>
  <c r="B11" i="7" s="1"/>
  <c r="A29" i="5"/>
  <c r="B29" i="7" s="1"/>
  <c r="A261" i="5"/>
  <c r="J124" i="4" s="1"/>
  <c r="A70" i="5"/>
  <c r="M15" i="4" s="1"/>
  <c r="A112" i="5"/>
  <c r="N39" i="4" s="1"/>
  <c r="A86" i="5"/>
  <c r="L34" i="4" s="1"/>
  <c r="A424" i="5"/>
  <c r="B45" i="11" s="1"/>
  <c r="A78" i="5"/>
  <c r="AA12" i="4" s="1"/>
  <c r="A305" i="5"/>
  <c r="B168" i="4" s="1"/>
  <c r="A88" i="5"/>
  <c r="U16" i="4" s="1"/>
  <c r="A173" i="5"/>
  <c r="B52" i="8" s="1"/>
  <c r="W76" i="4" s="1"/>
  <c r="A162" i="5"/>
  <c r="M67" i="4"/>
  <c r="A113" i="5"/>
  <c r="O38" i="4"/>
  <c r="A117" i="5"/>
  <c r="Q38" i="4"/>
  <c r="A121" i="5"/>
  <c r="A125" i="5"/>
  <c r="B42" i="4" s="1"/>
  <c r="A129" i="5"/>
  <c r="A133" i="5"/>
  <c r="A137" i="5"/>
  <c r="B21" i="8"/>
  <c r="A351" i="5"/>
  <c r="D5" i="8"/>
  <c r="A143" i="5"/>
  <c r="B25" i="8"/>
  <c r="A212" i="5"/>
  <c r="B105" i="4"/>
  <c r="A206" i="5"/>
  <c r="B99" i="4"/>
  <c r="A74" i="5"/>
  <c r="M16" i="4"/>
  <c r="A32" i="5"/>
  <c r="B32" i="7"/>
  <c r="A421" i="5"/>
  <c r="J30" i="11"/>
  <c r="A359" i="5"/>
  <c r="C18" i="8"/>
  <c r="A387" i="5"/>
  <c r="A182" i="5"/>
  <c r="B81" i="4" s="1"/>
  <c r="A188" i="5"/>
  <c r="B88" i="4" s="1"/>
  <c r="A311" i="5"/>
  <c r="B174" i="4" s="1"/>
  <c r="A106" i="5"/>
  <c r="M37" i="4" s="1"/>
  <c r="A263" i="5"/>
  <c r="A308" i="5"/>
  <c r="B171" i="4"/>
  <c r="A37" i="5"/>
  <c r="A382" i="5"/>
  <c r="A422" i="5"/>
  <c r="B43" i="11"/>
  <c r="A217" i="5"/>
  <c r="B110" i="4"/>
  <c r="A15" i="5"/>
  <c r="C13" i="7"/>
  <c r="A80" i="5"/>
  <c r="B18" i="4"/>
  <c r="A338" i="5"/>
  <c r="Q163" i="4"/>
  <c r="A12" i="5"/>
  <c r="B13" i="7"/>
  <c r="A100" i="5"/>
  <c r="A297" i="5"/>
  <c r="O123" i="4" s="1"/>
  <c r="A211" i="5"/>
  <c r="B104" i="4" s="1"/>
  <c r="A278" i="5"/>
  <c r="B140" i="4" s="1"/>
  <c r="A360" i="5"/>
  <c r="AG166" i="4" s="1"/>
  <c r="A226" i="5"/>
  <c r="A425" i="5"/>
  <c r="B46" i="11"/>
  <c r="A28" i="5"/>
  <c r="B28" i="7"/>
  <c r="A153" i="5"/>
  <c r="A290" i="4"/>
  <c r="A365" i="5"/>
  <c r="AG173" i="4"/>
  <c r="A69" i="5"/>
  <c r="U10" i="4"/>
  <c r="A172" i="5"/>
  <c r="A87" i="5"/>
  <c r="U15" i="4" s="1"/>
  <c r="A207" i="5"/>
  <c r="B100" i="4" s="1"/>
  <c r="A327" i="5"/>
  <c r="A400" i="5"/>
  <c r="B16" i="11"/>
  <c r="A388" i="5"/>
  <c r="A331" i="5"/>
  <c r="A4" i="5"/>
  <c r="C2" i="7"/>
  <c r="A163" i="5"/>
  <c r="M68" i="4"/>
  <c r="A114" i="5"/>
  <c r="O39" i="4"/>
  <c r="A118" i="5"/>
  <c r="R38" i="4"/>
  <c r="A122" i="5"/>
  <c r="B40" i="4"/>
  <c r="A126" i="5"/>
  <c r="B51" i="4"/>
  <c r="A130" i="5"/>
  <c r="A265" i="4" s="1"/>
  <c r="A134" i="5"/>
  <c r="B18" i="8" s="1"/>
  <c r="A138" i="5"/>
  <c r="B22" i="8" s="1"/>
  <c r="A393" i="5"/>
  <c r="D3" i="11" s="1"/>
  <c r="A279" i="5"/>
  <c r="B141" i="4" s="1"/>
  <c r="A144" i="5"/>
  <c r="A342" i="5"/>
  <c r="A30" i="5"/>
  <c r="B30" i="7" s="1"/>
  <c r="A316" i="5"/>
  <c r="AG170" i="4" s="1"/>
  <c r="A251" i="5"/>
  <c r="B124" i="4"/>
  <c r="A303" i="5"/>
  <c r="B166" i="4"/>
  <c r="A56" i="5"/>
  <c r="M7" i="4"/>
  <c r="A314" i="5"/>
  <c r="F163" i="4"/>
  <c r="A348" i="5"/>
  <c r="B6" i="8"/>
  <c r="A227" i="5"/>
  <c r="B195" i="4"/>
  <c r="A139" i="5"/>
  <c r="A131" i="5"/>
  <c r="B15" i="8" s="1"/>
  <c r="A123" i="5"/>
  <c r="D41" i="4" s="1"/>
  <c r="A115" i="5"/>
  <c r="P38" i="4" s="1"/>
  <c r="A49" i="5"/>
  <c r="B45" i="7"/>
  <c r="A403" i="5"/>
  <c r="B22" i="11"/>
  <c r="A262" i="5"/>
  <c r="K124" i="4"/>
  <c r="A375" i="5"/>
  <c r="B213" i="4"/>
  <c r="A157" i="5"/>
  <c r="B39" i="8"/>
  <c r="A205" i="5"/>
  <c r="B98" i="4"/>
  <c r="A149" i="5"/>
  <c r="A319" i="5"/>
  <c r="A330" i="5"/>
  <c r="I183" i="4"/>
  <c r="A84" i="5"/>
  <c r="G33" i="4"/>
  <c r="A81" i="5"/>
  <c r="B20" i="4"/>
  <c r="A97" i="5"/>
  <c r="J38" i="4"/>
  <c r="A378" i="5"/>
  <c r="L212" i="4"/>
  <c r="A5" i="5"/>
  <c r="R2" i="4"/>
  <c r="A302" i="5"/>
  <c r="B160" i="4"/>
  <c r="A183" i="5"/>
  <c r="B82" i="4"/>
  <c r="A292" i="5"/>
  <c r="B156" i="4"/>
  <c r="A386" i="5"/>
  <c r="A92" i="5"/>
  <c r="H37" i="4" s="1"/>
  <c r="A254" i="5"/>
  <c r="G124" i="4" s="1"/>
  <c r="A67" i="5"/>
  <c r="B15" i="4" s="1"/>
  <c r="A356" i="5"/>
  <c r="C35" i="8" s="1"/>
  <c r="A96" i="5"/>
  <c r="J37" i="4" s="1"/>
  <c r="A313" i="5"/>
  <c r="F162" i="4" s="1"/>
  <c r="A286" i="5"/>
  <c r="B149" i="4" s="1"/>
  <c r="A271" i="5"/>
  <c r="B133" i="4" s="1"/>
  <c r="A34" i="5"/>
  <c r="B34" i="7" s="1"/>
  <c r="A361" i="5"/>
  <c r="A147" i="5"/>
  <c r="B29" i="8"/>
  <c r="A136" i="5"/>
  <c r="B20" i="8"/>
  <c r="A128" i="5"/>
  <c r="A263" i="4"/>
  <c r="A120" i="5"/>
  <c r="R39" i="4"/>
  <c r="A165" i="5"/>
  <c r="A269" i="5"/>
  <c r="B131" i="4"/>
  <c r="A45" i="5"/>
  <c r="B41" i="7"/>
  <c r="A85" i="5"/>
  <c r="L33" i="4"/>
  <c r="A347" i="5"/>
  <c r="B2" i="8"/>
  <c r="A419" i="5"/>
  <c r="K36" i="11"/>
  <c r="A154" i="5"/>
  <c r="A291" i="4"/>
  <c r="A180" i="5"/>
  <c r="A270" i="5"/>
  <c r="B132" i="4" s="1"/>
  <c r="A166" i="5"/>
  <c r="B45" i="8" s="1"/>
  <c r="A91" i="5"/>
  <c r="G38" i="4"/>
  <c r="A289" i="5"/>
  <c r="B152" i="4"/>
  <c r="A325" i="5"/>
  <c r="A236" i="5"/>
  <c r="B203" i="4"/>
  <c r="A249" i="5"/>
  <c r="B122" i="4"/>
  <c r="A66" i="5"/>
  <c r="M14" i="4"/>
  <c r="A108" i="5"/>
  <c r="A280" i="5"/>
  <c r="B142" i="4" s="1"/>
  <c r="A334" i="5"/>
  <c r="O163" i="4" s="1"/>
  <c r="A402" i="5"/>
  <c r="B20" i="11" s="1"/>
  <c r="A363" i="5"/>
  <c r="A373" i="5"/>
  <c r="L210" i="4"/>
  <c r="A332" i="5"/>
  <c r="O160" i="4"/>
  <c r="A135" i="5"/>
  <c r="A272" i="4"/>
  <c r="A127" i="5"/>
  <c r="A119" i="5"/>
  <c r="Q39" i="4" s="1"/>
  <c r="A164" i="5"/>
  <c r="B43" i="8" s="1"/>
  <c r="C31" i="8"/>
  <c r="A200" i="5"/>
  <c r="L96" i="4" s="1"/>
  <c r="A167" i="5"/>
  <c r="A368" i="5"/>
  <c r="B189" i="4"/>
  <c r="A155" i="5"/>
  <c r="B37" i="8"/>
  <c r="A33" i="5"/>
  <c r="B33" i="7"/>
  <c r="A60" i="5"/>
  <c r="M10" i="4"/>
  <c r="A181" i="5"/>
  <c r="A405" i="5"/>
  <c r="B26" i="11" s="1"/>
  <c r="A354" i="5"/>
  <c r="F4" i="8" s="1"/>
  <c r="A290" i="5"/>
  <c r="B153" i="4" s="1"/>
  <c r="A247" i="5"/>
  <c r="A7" i="5"/>
  <c r="R4" i="4"/>
  <c r="A410" i="5"/>
  <c r="B36" i="11"/>
  <c r="A287" i="5"/>
  <c r="B150" i="4"/>
  <c r="A51" i="5"/>
  <c r="A169" i="5"/>
  <c r="B48" i="8" s="1"/>
  <c r="W72" i="4" s="1"/>
  <c r="A341" i="5"/>
  <c r="A282" i="5"/>
  <c r="B144" i="4" s="1"/>
  <c r="A202" i="5"/>
  <c r="M126" i="4" s="1"/>
  <c r="A228" i="5"/>
  <c r="A244" i="5"/>
  <c r="O95" i="4"/>
  <c r="A22" i="5"/>
  <c r="B22" i="7"/>
  <c r="A416" i="5"/>
  <c r="I38" i="11"/>
  <c r="A377" i="5"/>
  <c r="B215" i="4"/>
  <c r="A349" i="5"/>
  <c r="C6" i="8"/>
  <c r="A275" i="5"/>
  <c r="B137" i="4"/>
  <c r="A179" i="5"/>
  <c r="A201" i="5"/>
  <c r="M125" i="4" s="1"/>
  <c r="A110" i="5"/>
  <c r="N36" i="4" s="1"/>
  <c r="A43" i="5"/>
  <c r="B39" i="7" s="1"/>
  <c r="A224" i="5"/>
  <c r="B117" i="4" s="1"/>
  <c r="A357" i="5"/>
  <c r="C44" i="8" s="1"/>
  <c r="A94" i="5"/>
  <c r="H39" i="4" s="1"/>
  <c r="A184" i="5"/>
  <c r="B83" i="4"/>
  <c r="A320" i="5"/>
  <c r="L164" i="4"/>
  <c r="A73" i="5"/>
  <c r="X11" i="4"/>
  <c r="A413" i="5"/>
  <c r="I22" i="11"/>
  <c r="A23" i="5"/>
  <c r="B23" i="7"/>
  <c r="A324" i="5"/>
  <c r="B209" i="4"/>
  <c r="A309" i="5"/>
  <c r="B172" i="4"/>
  <c r="A111" i="5"/>
  <c r="N38" i="4"/>
  <c r="A370" i="5"/>
  <c r="B192" i="4"/>
  <c r="A47" i="5"/>
  <c r="B43" i="7"/>
  <c r="A352" i="5"/>
  <c r="D6" i="8"/>
  <c r="A95" i="5"/>
  <c r="A31" i="5"/>
  <c r="B31" i="7" s="1"/>
  <c r="A231" i="5"/>
  <c r="E197" i="4" s="1"/>
  <c r="A310" i="5"/>
  <c r="B173" i="4" s="1"/>
  <c r="A323" i="5"/>
  <c r="B178" i="4" s="1"/>
  <c r="A329" i="5"/>
  <c r="B183" i="4" s="1"/>
  <c r="A355" i="5"/>
  <c r="F5" i="8" s="1"/>
  <c r="A237" i="5"/>
  <c r="A191" i="5"/>
  <c r="B91" i="4"/>
  <c r="A214" i="5"/>
  <c r="B107" i="4"/>
  <c r="A428" i="5"/>
  <c r="B49" i="11"/>
  <c r="A185" i="5"/>
  <c r="B84" i="4"/>
  <c r="A257" i="5"/>
  <c r="I124" i="4"/>
  <c r="A411" i="5"/>
  <c r="B38" i="11"/>
  <c r="A312" i="5"/>
  <c r="B175" i="4"/>
  <c r="A299" i="5"/>
  <c r="O125" i="4"/>
  <c r="A25" i="5"/>
  <c r="B25" i="7"/>
  <c r="A107" i="5"/>
  <c r="A46" i="5"/>
  <c r="B42" i="7" s="1"/>
  <c r="A272" i="5"/>
  <c r="B134" i="4" s="1"/>
  <c r="A376" i="5"/>
  <c r="B214" i="4" s="1"/>
  <c r="A418" i="5"/>
  <c r="K34" i="11" s="1"/>
  <c r="A321" i="5"/>
  <c r="A293" i="5"/>
  <c r="B157" i="4"/>
  <c r="A152" i="5"/>
  <c r="A102" i="5"/>
  <c r="A196" i="5"/>
  <c r="K95" i="4"/>
  <c r="A14" i="5"/>
  <c r="C12" i="7"/>
  <c r="A238" i="5"/>
  <c r="B205" i="4"/>
  <c r="A380" i="5"/>
  <c r="L213" i="4"/>
  <c r="A13" i="5"/>
  <c r="B14" i="7"/>
  <c r="A234" i="5"/>
  <c r="A369" i="5"/>
  <c r="B191" i="4" s="1"/>
  <c r="A21" i="5"/>
  <c r="B21" i="7" s="1"/>
  <c r="A318" i="5"/>
  <c r="J163" i="4" s="1"/>
  <c r="A27" i="5"/>
  <c r="B27" i="7" s="1"/>
  <c r="A384" i="5"/>
  <c r="A241" i="5"/>
  <c r="A90" i="5"/>
  <c r="F38" i="4" s="1"/>
  <c r="A26" i="5"/>
  <c r="B26" i="7" s="1"/>
  <c r="A304" i="5"/>
  <c r="B167" i="4" s="1"/>
  <c r="A89" i="5"/>
  <c r="B38" i="4" s="1"/>
  <c r="A239" i="5"/>
  <c r="A36" i="5"/>
  <c r="B36" i="7"/>
  <c r="A8" i="5"/>
  <c r="A176" i="5"/>
  <c r="B55" i="8" s="1"/>
  <c r="A335" i="5"/>
  <c r="P162" i="4" s="1"/>
  <c r="A420" i="5"/>
  <c r="K28" i="11" s="1"/>
  <c r="A407" i="5"/>
  <c r="B30" i="11" s="1"/>
  <c r="A371" i="5"/>
  <c r="B193" i="4" s="1"/>
  <c r="A38" i="5"/>
  <c r="A240" i="5"/>
  <c r="A276" i="5"/>
  <c r="B138" i="4" s="1"/>
  <c r="A288" i="5"/>
  <c r="B151" i="4" s="1"/>
  <c r="A209" i="5"/>
  <c r="B102" i="4" s="1"/>
  <c r="A221" i="5"/>
  <c r="B114" i="4" s="1"/>
  <c r="A19" i="5"/>
  <c r="B19" i="7" s="1"/>
  <c r="A76" i="5"/>
  <c r="AA10" i="4" s="1"/>
  <c r="A344" i="5"/>
  <c r="A77" i="5"/>
  <c r="AA11" i="4"/>
  <c r="A59" i="5"/>
  <c r="B10" i="4"/>
  <c r="A229" i="5"/>
  <c r="C196" i="4"/>
  <c r="A35" i="5"/>
  <c r="B35" i="7"/>
  <c r="A426" i="5"/>
  <c r="B47" i="11"/>
  <c r="A394" i="5"/>
  <c r="B6" i="11"/>
  <c r="A337" i="5"/>
  <c r="Q162" i="4"/>
  <c r="A159" i="5"/>
  <c r="B41" i="8"/>
  <c r="A16" i="5"/>
  <c r="C14" i="7"/>
  <c r="A427" i="5"/>
  <c r="B48" i="11"/>
  <c r="A215" i="5"/>
  <c r="B108" i="4"/>
  <c r="A177" i="5"/>
  <c r="B56" i="8"/>
  <c r="A230" i="5"/>
  <c r="C197" i="4"/>
  <c r="A374" i="5"/>
  <c r="B212" i="4"/>
  <c r="A264" i="5"/>
  <c r="B126" i="4"/>
  <c r="A219" i="5"/>
  <c r="E111" i="4"/>
  <c r="A258" i="5"/>
  <c r="A65" i="5"/>
  <c r="B14" i="4" s="1"/>
  <c r="A291" i="5"/>
  <c r="B155" i="4" s="1"/>
  <c r="A79" i="5"/>
  <c r="AA13" i="4" s="1"/>
  <c r="A281" i="5"/>
  <c r="B143" i="4" s="1"/>
  <c r="A150" i="5"/>
  <c r="B59" i="4" s="1"/>
  <c r="A364" i="5"/>
  <c r="M176" i="4" s="1"/>
  <c r="A42" i="5"/>
  <c r="B38" i="7"/>
  <c r="A328" i="5"/>
  <c r="B185" i="4"/>
  <c r="A315" i="5"/>
  <c r="H162" i="4" s="1"/>
  <c r="A235" i="5"/>
  <c r="B202" i="4" s="1"/>
  <c r="A190" i="5"/>
  <c r="B90" i="4"/>
  <c r="A82" i="5"/>
  <c r="B31" i="4"/>
  <c r="A170" i="5"/>
  <c r="B49" i="8"/>
  <c r="W73" i="4" s="1"/>
  <c r="A415" i="5"/>
  <c r="I28" i="11" s="1"/>
  <c r="A362" i="5"/>
  <c r="A395" i="5"/>
  <c r="B8" i="11" s="1"/>
  <c r="A255" i="5"/>
  <c r="G125" i="4"/>
  <c r="A195" i="5"/>
  <c r="I96" i="4" s="1"/>
  <c r="A213" i="5"/>
  <c r="B106" i="4"/>
  <c r="A225" i="5"/>
  <c r="B118" i="4" s="1"/>
  <c r="A187" i="5"/>
  <c r="B86" i="4"/>
  <c r="A54" i="5"/>
  <c r="D3" i="4" s="1"/>
  <c r="A72" i="5"/>
  <c r="X10" i="4"/>
  <c r="A83" i="5"/>
  <c r="E33" i="4" s="1"/>
  <c r="A358" i="5"/>
  <c r="A64" i="5"/>
  <c r="M12" i="4"/>
  <c r="A161" i="5"/>
  <c r="B66" i="4" s="1"/>
  <c r="A389" i="5"/>
  <c r="A307" i="5"/>
  <c r="B170" i="4"/>
  <c r="A104" i="5"/>
  <c r="A248" i="5"/>
  <c r="B120" i="4" s="1"/>
  <c r="A75" i="5"/>
  <c r="AA9" i="4" s="1"/>
  <c r="A63" i="5"/>
  <c r="B12" i="4"/>
  <c r="A52" i="5"/>
  <c r="A216" i="5"/>
  <c r="B109" i="4"/>
  <c r="A198" i="5"/>
  <c r="K96" i="4" s="1"/>
  <c r="A273" i="5"/>
  <c r="B135" i="4"/>
  <c r="A256" i="5"/>
  <c r="M124" i="4" s="1"/>
  <c r="A44" i="5"/>
  <c r="B40" i="7" s="1"/>
  <c r="A98" i="5"/>
  <c r="J39" i="4" s="1"/>
  <c r="A93" i="5"/>
  <c r="H38" i="4" s="1"/>
  <c r="H69" i="4"/>
  <c r="A55" i="5"/>
  <c r="B7" i="4"/>
  <c r="A379" i="5"/>
  <c r="N212" i="4"/>
  <c r="A210" i="5"/>
  <c r="B103" i="4"/>
  <c r="A295" i="5"/>
  <c r="O120" i="4"/>
  <c r="A417" i="5"/>
  <c r="K32" i="11"/>
  <c r="A158" i="5"/>
  <c r="A295" i="4"/>
  <c r="A423" i="5"/>
  <c r="B44" i="11"/>
  <c r="A372" i="5"/>
  <c r="B210" i="4"/>
  <c r="A141" i="5"/>
  <c r="A245" i="5"/>
  <c r="O96" i="4" s="1"/>
  <c r="A218" i="5"/>
  <c r="E110" i="4" s="1"/>
  <c r="A194" i="5"/>
  <c r="I95" i="4"/>
  <c r="A274" i="5"/>
  <c r="B136" i="4" s="1"/>
  <c r="A250" i="5"/>
  <c r="B123" i="4" s="1"/>
  <c r="A40" i="5"/>
  <c r="A399" i="5"/>
  <c r="B13" i="11"/>
  <c r="A178" i="5"/>
  <c r="A142" i="5"/>
  <c r="B58" i="4" s="1"/>
  <c r="A406" i="5"/>
  <c r="B28" i="11"/>
  <c r="A232" i="5"/>
  <c r="A145" i="5"/>
  <c r="B27" i="8"/>
  <c r="A246" i="5"/>
  <c r="A146" i="5"/>
  <c r="A336" i="5"/>
  <c r="P163" i="4"/>
  <c r="A353" i="5"/>
  <c r="E6" i="8" s="1"/>
  <c r="A283" i="5"/>
  <c r="B145" i="4"/>
  <c r="A204" i="5"/>
  <c r="B97" i="4" s="1"/>
  <c r="A222" i="5"/>
  <c r="B115" i="4"/>
  <c r="A333" i="5"/>
  <c r="O162" i="4" s="1"/>
  <c r="A233" i="5"/>
  <c r="A109" i="5"/>
  <c r="A17" i="5"/>
  <c r="B16" i="7" s="1"/>
  <c r="A71" i="5"/>
  <c r="X9" i="4"/>
  <c r="A171" i="5"/>
  <c r="B50" i="8" s="1"/>
  <c r="W74" i="4" s="1"/>
  <c r="A62" i="5"/>
  <c r="M11" i="4" s="1"/>
  <c r="A11" i="5"/>
  <c r="B12" i="7" s="1"/>
  <c r="A203" i="5"/>
  <c r="M127" i="4" s="1"/>
  <c r="A284" i="5"/>
  <c r="B146" i="4"/>
  <c r="A41" i="5"/>
  <c r="B37" i="7"/>
  <c r="A404" i="5"/>
  <c r="B24" i="11"/>
  <c r="A326" i="5"/>
  <c r="A396" i="5"/>
  <c r="B9" i="11" s="1"/>
  <c r="A101" i="5"/>
  <c r="K39" i="4" s="1"/>
  <c r="A197" i="5"/>
  <c r="J95" i="4" s="1"/>
  <c r="A397" i="5"/>
  <c r="B10" i="11" s="1"/>
  <c r="A350" i="5"/>
  <c r="D4" i="8" s="1"/>
  <c r="A322" i="5"/>
  <c r="A174" i="5"/>
  <c r="A68" i="5"/>
  <c r="U9" i="4" s="1"/>
  <c r="A18" i="5"/>
  <c r="B17" i="7" s="1"/>
  <c r="A220" i="5"/>
  <c r="E112" i="4" s="1"/>
  <c r="A105" i="5"/>
  <c r="M36" i="4" s="1"/>
  <c r="A9" i="5"/>
  <c r="B9" i="7" s="1"/>
  <c r="A208" i="5"/>
  <c r="B101" i="4" s="1"/>
  <c r="A48" i="5"/>
  <c r="B44" i="7" s="1"/>
  <c r="A193" i="5"/>
  <c r="B93" i="4" s="1"/>
  <c r="A296" i="5"/>
  <c r="O122" i="4" s="1"/>
  <c r="A252" i="5"/>
  <c r="F124" i="4" s="1"/>
  <c r="A392" i="5"/>
  <c r="D2" i="11" s="1"/>
  <c r="A401" i="5"/>
  <c r="B18" i="11" s="1"/>
  <c r="A151" i="5"/>
  <c r="B33" i="8" s="1"/>
  <c r="A223" i="5"/>
  <c r="B116" i="4" s="1"/>
  <c r="A242" i="5"/>
  <c r="A298" i="5"/>
  <c r="O124" i="4"/>
  <c r="A412" i="5"/>
  <c r="AI172" i="4"/>
  <c r="AI169" i="4"/>
  <c r="E215" i="4"/>
  <c r="B46" i="4"/>
  <c r="B24" i="8"/>
  <c r="Y47" i="4"/>
  <c r="K42" i="4"/>
  <c r="O166" i="4"/>
  <c r="O184" i="4" s="1"/>
  <c r="J69" i="4"/>
  <c r="B60" i="4"/>
  <c r="M113" i="4"/>
  <c r="Q145" i="4"/>
  <c r="V145" i="4"/>
  <c r="V136" i="4"/>
  <c r="Q136" i="4"/>
  <c r="H172" i="4"/>
  <c r="Q141" i="4"/>
  <c r="V141" i="4"/>
  <c r="Q100" i="4"/>
  <c r="V100" i="4"/>
  <c r="V143" i="4"/>
  <c r="Q143" i="4"/>
  <c r="G1" i="7"/>
  <c r="Q147" i="4"/>
  <c r="V147" i="4"/>
  <c r="V139" i="4"/>
  <c r="Q139" i="4"/>
  <c r="V97" i="4"/>
  <c r="Q97" i="4"/>
  <c r="L118" i="4"/>
  <c r="J169" i="4"/>
  <c r="Q138" i="4"/>
  <c r="V134" i="4"/>
  <c r="Q133" i="4"/>
  <c r="J152" i="4"/>
  <c r="L152" i="4" s="1"/>
  <c r="I150" i="4"/>
  <c r="J172" i="4" s="1"/>
  <c r="E214" i="4"/>
  <c r="Y46" i="4"/>
  <c r="A285" i="4"/>
  <c r="A264" i="4"/>
  <c r="B38" i="8"/>
  <c r="AG174" i="4"/>
  <c r="A310" i="4"/>
  <c r="A274" i="4"/>
  <c r="H68" i="4"/>
  <c r="B48" i="4"/>
  <c r="F48" i="4" s="1"/>
  <c r="H170" i="4"/>
  <c r="G69" i="4"/>
  <c r="B8" i="8"/>
  <c r="F41" i="4"/>
  <c r="C52" i="8"/>
  <c r="B41" i="4"/>
  <c r="B44" i="4"/>
  <c r="C33" i="8"/>
  <c r="B12" i="8"/>
  <c r="C55" i="8"/>
  <c r="B36" i="8"/>
  <c r="B75" i="4"/>
  <c r="A308" i="4"/>
  <c r="C29" i="8"/>
  <c r="AA166" i="4"/>
  <c r="K36" i="4"/>
  <c r="K67" i="4"/>
  <c r="A280" i="4"/>
  <c r="B53" i="4"/>
  <c r="A275" i="4"/>
  <c r="A281" i="4"/>
  <c r="B26" i="8"/>
  <c r="B52" i="4"/>
  <c r="A269" i="4"/>
  <c r="A260" i="4"/>
  <c r="F69" i="4"/>
  <c r="G2" i="7"/>
  <c r="A284" i="4"/>
  <c r="B9" i="8"/>
  <c r="F42" i="4" s="1"/>
  <c r="AG172" i="4"/>
  <c r="L162" i="4"/>
  <c r="A266" i="4"/>
  <c r="B45" i="4"/>
  <c r="H163" i="4"/>
  <c r="K68" i="4"/>
  <c r="K37" i="4"/>
  <c r="C17" i="8"/>
  <c r="C15" i="8"/>
  <c r="C49" i="8"/>
  <c r="C50" i="8"/>
  <c r="C47" i="8"/>
  <c r="A294" i="4"/>
  <c r="B35" i="8"/>
  <c r="J68" i="4"/>
  <c r="A268" i="4"/>
  <c r="B17" i="8"/>
  <c r="B50" i="4"/>
  <c r="B53" i="8"/>
  <c r="W77" i="4" s="1"/>
  <c r="A309" i="4"/>
  <c r="J70" i="4"/>
  <c r="AA164" i="4"/>
  <c r="B201" i="4"/>
  <c r="A289" i="4"/>
  <c r="B34" i="8"/>
  <c r="H70" i="4"/>
  <c r="B11" i="8"/>
  <c r="B49" i="4"/>
  <c r="F49" i="4" s="1"/>
  <c r="A262" i="4"/>
  <c r="A292" i="4"/>
  <c r="A283" i="4"/>
  <c r="B28" i="8"/>
  <c r="A282" i="4"/>
  <c r="M157" i="4"/>
  <c r="M155" i="4"/>
  <c r="I125" i="4"/>
  <c r="M152" i="4"/>
  <c r="M150" i="4"/>
  <c r="K125" i="4"/>
  <c r="M158" i="4"/>
  <c r="M156" i="4"/>
  <c r="M149" i="4"/>
  <c r="J125" i="4"/>
  <c r="D42" i="4"/>
  <c r="B40" i="8"/>
  <c r="A273" i="4"/>
  <c r="B19" i="8"/>
  <c r="I18" i="11"/>
  <c r="I20" i="11"/>
  <c r="A306" i="4"/>
  <c r="B200" i="4"/>
  <c r="AA163" i="4"/>
  <c r="B47" i="4"/>
  <c r="B16" i="8"/>
  <c r="AA162" i="4"/>
  <c r="B199" i="4"/>
  <c r="H124" i="4"/>
  <c r="M84" i="4"/>
  <c r="M83" i="4"/>
  <c r="M89" i="4"/>
  <c r="AA165" i="4"/>
  <c r="AI167" i="4"/>
  <c r="A296" i="4"/>
  <c r="B204" i="4"/>
  <c r="AA167" i="4"/>
  <c r="I70" i="4"/>
  <c r="I39" i="4"/>
  <c r="B46" i="8"/>
  <c r="B72" i="4"/>
  <c r="C24" i="8"/>
  <c r="C48" i="8"/>
  <c r="C12" i="8"/>
  <c r="C10" i="8"/>
  <c r="C53" i="8"/>
  <c r="C43" i="8"/>
  <c r="C51" i="8"/>
  <c r="C42" i="8"/>
  <c r="C41" i="8"/>
  <c r="C8" i="8"/>
  <c r="C9" i="8"/>
  <c r="C11" i="8"/>
  <c r="C40" i="8"/>
  <c r="C45" i="8"/>
  <c r="C37" i="8"/>
  <c r="C46" i="8"/>
  <c r="C39" i="8"/>
  <c r="C27" i="8"/>
  <c r="C13" i="8"/>
  <c r="C25" i="8"/>
  <c r="C56" i="8"/>
  <c r="C38" i="8"/>
  <c r="C26" i="8"/>
  <c r="C54" i="8"/>
  <c r="C14" i="8"/>
  <c r="AG169" i="4"/>
  <c r="A287" i="4"/>
  <c r="B32" i="8"/>
  <c r="A261" i="4"/>
  <c r="B10" i="8"/>
  <c r="I36" i="11"/>
  <c r="I32" i="11"/>
  <c r="I34" i="11"/>
  <c r="B23" i="8"/>
  <c r="A276" i="4"/>
  <c r="J170" i="4"/>
  <c r="V104" i="4"/>
  <c r="L150" i="4"/>
  <c r="K48" i="4"/>
  <c r="M71" i="4"/>
  <c r="M79" i="4" s="1"/>
  <c r="L79" i="4"/>
  <c r="K69" i="4"/>
  <c r="M122" i="4"/>
  <c r="O90" i="4"/>
  <c r="K38" i="4"/>
  <c r="M69" i="4"/>
  <c r="L38" i="4"/>
  <c r="L69" i="4"/>
  <c r="M117" i="4"/>
  <c r="O86" i="4"/>
  <c r="M118" i="4"/>
  <c r="M82" i="4"/>
  <c r="M116" i="4"/>
  <c r="B44" i="8"/>
  <c r="B74" i="4"/>
  <c r="B31" i="8"/>
  <c r="A286" i="4"/>
  <c r="O85" i="4"/>
  <c r="M38" i="4"/>
  <c r="L89" i="4"/>
  <c r="H171" i="4" s="1"/>
  <c r="K51" i="4"/>
  <c r="B51" i="8"/>
  <c r="W75" i="4"/>
  <c r="A307" i="4"/>
  <c r="P171" i="4"/>
  <c r="O168" i="4"/>
  <c r="C16" i="8"/>
  <c r="C36" i="8"/>
  <c r="C30" i="8"/>
  <c r="C28" i="8"/>
  <c r="C32" i="8"/>
  <c r="C34" i="8"/>
  <c r="F168" i="4"/>
  <c r="L84" i="4" l="1"/>
  <c r="H173" i="4"/>
  <c r="P184" i="4"/>
  <c r="P183" i="4"/>
  <c r="J173" i="4"/>
  <c r="J174" i="4" s="1"/>
  <c r="B71" i="4"/>
  <c r="M39" i="4"/>
  <c r="B13" i="8"/>
  <c r="B43" i="4"/>
  <c r="L65" i="4"/>
  <c r="L82" i="4" s="1"/>
  <c r="O174" i="4"/>
  <c r="R184" i="4"/>
  <c r="R185" i="4" s="1"/>
  <c r="K49" i="4"/>
  <c r="Q183" i="4"/>
  <c r="O183" i="4"/>
  <c r="Q184" i="4"/>
  <c r="Q185" i="4" s="1"/>
  <c r="K70" i="4"/>
  <c r="B14" i="8"/>
  <c r="K44" i="4" s="1"/>
  <c r="I175" i="4"/>
  <c r="E213" i="4"/>
  <c r="Q65" i="4"/>
  <c r="L39" i="4"/>
  <c r="M70" i="4"/>
  <c r="Q131" i="4"/>
  <c r="V131" i="4"/>
  <c r="F60" i="4"/>
  <c r="R183" i="4"/>
  <c r="A288" i="4"/>
  <c r="B73" i="4"/>
  <c r="F51" i="4"/>
  <c r="V146" i="4"/>
  <c r="K41" i="4"/>
  <c r="M210" i="4"/>
  <c r="Y119" i="4"/>
  <c r="V144" i="4"/>
  <c r="AD172" i="4"/>
  <c r="M209" i="4" s="1"/>
  <c r="W182" i="4" s="1"/>
  <c r="A116" i="5"/>
  <c r="P39" i="4" s="1"/>
  <c r="A168" i="5"/>
  <c r="B47" i="8" s="1"/>
  <c r="W71" i="4" s="1"/>
  <c r="S75" i="4" s="1"/>
  <c r="L122" i="4" l="1"/>
  <c r="L155" i="4" s="1"/>
  <c r="V156" i="4"/>
  <c r="K59" i="4"/>
  <c r="K53" i="4"/>
  <c r="Q175" i="4"/>
  <c r="P174" i="4"/>
  <c r="P169" i="4" s="1"/>
  <c r="P175" i="4"/>
  <c r="R175" i="4"/>
  <c r="F59" i="4"/>
  <c r="F74" i="4"/>
  <c r="F75" i="4"/>
  <c r="F53" i="4"/>
  <c r="K47" i="4"/>
  <c r="K60" i="4"/>
  <c r="F45" i="4"/>
  <c r="K45" i="4"/>
  <c r="F47" i="4"/>
  <c r="F44" i="4"/>
  <c r="K74" i="4"/>
  <c r="F72" i="4"/>
  <c r="K50" i="4"/>
  <c r="K52" i="4"/>
  <c r="F71" i="4"/>
  <c r="K71" i="4"/>
  <c r="F52" i="4"/>
  <c r="K46" i="4"/>
  <c r="F73" i="4"/>
  <c r="K73" i="4"/>
  <c r="V148" i="4"/>
  <c r="W192" i="4" s="1"/>
  <c r="K72" i="4"/>
  <c r="F46" i="4"/>
  <c r="F43" i="4"/>
  <c r="K43" i="4"/>
  <c r="F50" i="4"/>
  <c r="P185" i="4"/>
  <c r="O185" i="4"/>
  <c r="W188" i="4" l="1"/>
  <c r="X188" i="4"/>
  <c r="X187" i="4"/>
  <c r="X190" i="4" s="1"/>
  <c r="R178" i="4" s="1"/>
  <c r="W183" i="4" s="1"/>
  <c r="W187" i="4"/>
  <c r="X189" i="4"/>
  <c r="W189" i="4"/>
  <c r="L157" i="4"/>
  <c r="L156" i="4"/>
  <c r="F167" i="4" s="1"/>
  <c r="F174" i="4" s="1"/>
  <c r="W190" i="4" l="1"/>
  <c r="M174" i="4"/>
  <c r="I174" i="4"/>
  <c r="K174" i="4"/>
  <c r="L158" i="4"/>
  <c r="L112" i="4" s="1"/>
  <c r="W172" i="4" l="1"/>
  <c r="X173" i="4"/>
  <c r="W173" i="4"/>
  <c r="X172" i="4"/>
  <c r="X175" i="4" s="1"/>
  <c r="M178" i="4" s="1"/>
  <c r="W181" i="4" s="1"/>
  <c r="X174" i="4"/>
  <c r="W174" i="4"/>
  <c r="L117" i="4"/>
  <c r="H169" i="4" s="1"/>
  <c r="H174" i="4" s="1"/>
  <c r="F176" i="4" s="1"/>
  <c r="F113" i="4"/>
  <c r="L116" i="4"/>
  <c r="W175" i="4" l="1"/>
  <c r="M212" i="4" l="1"/>
  <c r="M215" i="4"/>
  <c r="M213" i="4"/>
  <c r="L215" i="4"/>
  <c r="L216" i="4"/>
</calcChain>
</file>

<file path=xl/sharedStrings.xml><?xml version="1.0" encoding="utf-8"?>
<sst xmlns="http://schemas.openxmlformats.org/spreadsheetml/2006/main" count="1631" uniqueCount="1305">
  <si>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</si>
  <si>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</si>
  <si>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</si>
  <si>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</si>
  <si>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</si>
  <si>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</si>
  <si>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</si>
  <si>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</si>
  <si>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</si>
  <si>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</si>
  <si>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</si>
  <si>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</si>
  <si>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</si>
  <si>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</si>
  <si>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</si>
  <si>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</si>
  <si>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</si>
  <si>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</si>
  <si>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</si>
  <si>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</si>
  <si>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</si>
  <si>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</si>
  <si>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</si>
  <si>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</si>
  <si>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</si>
  <si>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</si>
  <si>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</si>
  <si>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</si>
  <si>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</si>
  <si>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</si>
  <si>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</si>
  <si>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</si>
  <si>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</si>
  <si>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</si>
  <si>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</si>
  <si>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</si>
  <si>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</si>
  <si>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</si>
  <si>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</si>
  <si>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</si>
  <si>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</si>
  <si>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</si>
  <si>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</si>
  <si>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</si>
  <si>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</si>
  <si>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</si>
  <si>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</si>
  <si>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</si>
  <si>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</si>
  <si>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</si>
  <si>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</si>
  <si>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</si>
  <si>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</si>
  <si>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</si>
  <si>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</si>
  <si>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</si>
  <si>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</si>
  <si>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</si>
  <si>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</si>
  <si>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</si>
  <si>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</si>
  <si>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</si>
  <si>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</si>
  <si>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</si>
  <si>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</si>
  <si>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</si>
  <si>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</si>
  <si>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</si>
  <si>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</si>
  <si>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</si>
  <si>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</si>
  <si>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</si>
  <si>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</si>
  <si>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</si>
  <si>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</si>
  <si>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</si>
  <si>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</si>
  <si>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</si>
  <si>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</si>
  <si>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</si>
  <si>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</si>
  <si>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</si>
  <si>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</si>
  <si>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</si>
  <si>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</si>
  <si>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</si>
  <si>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</si>
  <si>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</si>
  <si>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</si>
  <si>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</si>
  <si>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</si>
  <si>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</si>
  <si>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</si>
  <si>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</si>
  <si>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</si>
  <si>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</si>
  <si>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</si>
  <si>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</si>
  <si>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</si>
  <si>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</si>
  <si>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</si>
  <si>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</si>
  <si>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</si>
  <si>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</si>
  <si>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</si>
  <si>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</si>
  <si>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</si>
  <si>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</si>
  <si>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</si>
  <si>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</si>
  <si>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</si>
  <si>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</si>
  <si>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</si>
  <si>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</si>
  <si>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</si>
  <si>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</si>
  <si>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</si>
  <si>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</si>
  <si>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</si>
  <si>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</si>
  <si>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</si>
  <si>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</si>
  <si>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</si>
  <si>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</si>
  <si>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</si>
  <si>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</si>
  <si>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</si>
  <si>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</si>
  <si>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</si>
  <si>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</si>
  <si>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</si>
  <si>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</si>
  <si>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</si>
  <si>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</si>
  <si>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</si>
  <si>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</si>
  <si>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</si>
  <si>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</si>
  <si>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</si>
  <si>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</si>
  <si>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</si>
  <si>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</si>
  <si>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</si>
  <si>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</si>
  <si>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</si>
  <si>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</si>
  <si>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</si>
  <si>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</si>
  <si>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</si>
  <si>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</si>
  <si>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</si>
  <si>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</si>
  <si>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</si>
  <si>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</si>
  <si>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</si>
  <si>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</si>
  <si>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</si>
  <si>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</si>
  <si>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</si>
  <si>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</si>
  <si>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</si>
  <si>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</si>
  <si>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</si>
  <si>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</si>
  <si>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</si>
  <si>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</si>
  <si>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</si>
  <si>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</si>
  <si>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</si>
  <si>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</si>
  <si>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</si>
  <si>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</si>
  <si>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</si>
  <si>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</si>
  <si>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</si>
  <si>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</si>
  <si>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</si>
  <si>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</si>
  <si>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</si>
  <si>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</si>
  <si>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</si>
  <si>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</si>
  <si>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</si>
  <si>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</si>
  <si>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</si>
  <si>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</si>
  <si>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</si>
  <si>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</si>
  <si>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</si>
  <si>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</si>
  <si>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</si>
  <si>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</si>
  <si>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</si>
  <si>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</si>
  <si>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</si>
  <si>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</si>
  <si>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</si>
  <si>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</si>
  <si>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</si>
  <si>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</si>
  <si>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</si>
  <si>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</si>
  <si>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</si>
  <si>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</si>
  <si>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</si>
  <si>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</si>
  <si>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</si>
  <si>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</si>
  <si>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</si>
  <si>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</si>
  <si>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</si>
  <si>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</si>
  <si>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</si>
  <si>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</si>
  <si>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</si>
  <si>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</si>
  <si>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</si>
  <si>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</si>
  <si>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</si>
  <si>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</si>
  <si>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</si>
  <si>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</si>
  <si>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</si>
  <si>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</si>
  <si>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</si>
  <si>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</si>
  <si>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</si>
  <si>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</si>
  <si>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</si>
  <si>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</si>
  <si>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</si>
  <si>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</si>
  <si>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</si>
  <si>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</si>
  <si>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</si>
  <si>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</si>
  <si>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</si>
  <si>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</si>
  <si>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</si>
  <si>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</si>
  <si>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</si>
  <si>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</si>
  <si>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</si>
  <si>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</si>
  <si>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</si>
  <si>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</si>
  <si>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</si>
  <si>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</si>
  <si>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</si>
  <si>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</si>
  <si>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</si>
  <si>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</si>
  <si>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</si>
  <si>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</si>
  <si>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</si>
  <si>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</si>
  <si>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</si>
  <si>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</si>
  <si>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</si>
  <si>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</si>
  <si>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(A5+A6+A7+C6+C7)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</si>
  <si>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</si>
  <si>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</si>
  <si>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</si>
  <si>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</si>
  <si>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</si>
  <si>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</si>
  <si>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</si>
  <si>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</si>
  <si>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</si>
  <si>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</si>
  <si>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</si>
  <si>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</si>
  <si>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</si>
  <si>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</si>
  <si>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&lt; 180 jours, &gt; 148 cm*</t>
  </si>
  <si>
    <t>Cheval &gt; 180 jours, &gt; 148 cm*</t>
  </si>
  <si>
    <t>Mulet et bardot, &lt; 180 jours, indépendant d'hauteur</t>
  </si>
  <si>
    <t>Mulet et bardot, &gt; 180 jours, indépendant d'hauteur</t>
  </si>
  <si>
    <t>Poney**, petit cheval, âne, de tout âge, &lt; 148 cm</t>
  </si>
  <si>
    <t>Cavallo &lt; 180 g, &gt; 148cm*</t>
  </si>
  <si>
    <t>Cavallo &gt; 180 g, &gt; 148cm*</t>
  </si>
  <si>
    <t>Muli o bardotti &lt; 180 g, indip altezza al garrese</t>
  </si>
  <si>
    <t>Muli o bardotti &gt; 180 g, indip altezza al garrese</t>
  </si>
  <si>
    <t>Pony**, piccoli cavalli e asini di agni età, &lt; 148 cm</t>
  </si>
  <si>
    <t>Maultiere, Maulesel &lt; 180 d, unabh. Widerristhöhe</t>
  </si>
  <si>
    <t>Maultiere, Maulesel &gt; 180 d, unabh. Widerristhöhe</t>
  </si>
  <si>
    <t>Pferde &lt; 180 d, &gt; 148 cm*</t>
  </si>
  <si>
    <t>Pferde &gt; 180 d, &gt; 148 cm*</t>
  </si>
  <si>
    <t>Ponys**, Kleinpferde und Esel, jeden Alters, &lt; 148 cm</t>
  </si>
  <si>
    <t>Bisons über 900 d</t>
  </si>
  <si>
    <t>Bisons bis 900 d</t>
  </si>
  <si>
    <t>Bison moins de 900 jours</t>
  </si>
  <si>
    <t>Bison plus de 900 jours</t>
  </si>
  <si>
    <t>Bisonti di oltre 900 giorni</t>
  </si>
  <si>
    <t>Bisonti fino a 900 giorni</t>
  </si>
  <si>
    <t>Version: 1.5</t>
  </si>
  <si>
    <t>version: 1.5</t>
  </si>
  <si>
    <t>Versione: 1.5</t>
  </si>
  <si>
    <t>dazugehörende Suisse-Bilanz Aufl. 1.14</t>
  </si>
  <si>
    <t>correspondant Suisse-Bilanz Edition 1.14</t>
  </si>
  <si>
    <t>rispettivo Suisse-Bilanz Versione 1.14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</si>
  <si>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</si>
  <si>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</si>
  <si>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</si>
  <si>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</si>
  <si>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</si>
  <si>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</si>
  <si>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</si>
  <si>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</si>
  <si>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</si>
  <si>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</si>
  <si>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</si>
  <si>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</si>
  <si>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</si>
  <si>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</si>
  <si>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</si>
  <si>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</si>
  <si>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</si>
  <si>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</si>
  <si>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</si>
  <si>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</si>
  <si>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</si>
  <si>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</si>
  <si>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Fütterung von Kartoffeln oder Futterrüben?</t>
  </si>
  <si>
    <t>ad libitum-Fütterung?</t>
  </si>
  <si>
    <t>Affouragement libre service?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</si>
  <si>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</si>
  <si>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</si>
  <si>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</si>
  <si>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</si>
  <si>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</si>
  <si>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</si>
  <si>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</si>
  <si>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</si>
  <si>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</si>
  <si>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</si>
  <si>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</si>
  <si>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</si>
  <si>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</si>
  <si>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</si>
  <si>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</si>
  <si>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</si>
  <si>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</si>
  <si>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</si>
  <si>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</si>
  <si>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</si>
  <si>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</si>
  <si>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</si>
  <si>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</si>
  <si>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</si>
  <si>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</si>
  <si>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</si>
  <si>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</si>
  <si>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</si>
  <si>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</si>
  <si>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</si>
  <si>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</si>
  <si>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</si>
  <si>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</si>
  <si>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</si>
  <si>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</si>
  <si>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</si>
  <si>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</si>
  <si>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</si>
  <si>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</si>
  <si>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</si>
  <si>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</si>
  <si>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</si>
  <si>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</si>
  <si>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</si>
  <si>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</si>
  <si>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</si>
  <si>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</si>
  <si>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</si>
  <si>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</si>
  <si>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</si>
  <si>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</si>
  <si>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</si>
  <si>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</si>
  <si>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</si>
  <si>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</si>
  <si>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</si>
  <si>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</si>
  <si>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</si>
  <si>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</si>
  <si>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</si>
  <si>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</si>
  <si>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0 bis 1-jährig</t>
  </si>
  <si>
    <t>Jungvieh, 1 bis 2-jährig</t>
  </si>
  <si>
    <t>Rinder &gt;2-jährig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</si>
  <si>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</si>
  <si>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</si>
  <si>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</si>
  <si>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</si>
  <si>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</si>
  <si>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</si>
  <si>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</si>
  <si>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</si>
  <si>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</si>
  <si>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</si>
  <si>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</si>
  <si>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</si>
  <si>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</si>
  <si>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</si>
  <si>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</si>
  <si>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>Porcelet sevré jusqu'à 25-30 kg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</si>
  <si>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</si>
  <si>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</si>
  <si>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</si>
  <si>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</si>
  <si>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</si>
  <si>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</si>
  <si>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</si>
  <si>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</si>
  <si>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</si>
  <si>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</si>
  <si>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</si>
  <si>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</si>
  <si>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</si>
  <si>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</si>
  <si>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</si>
  <si>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Alpaga moins de 2 ans</t>
  </si>
  <si>
    <t>Truie non allaitante</t>
  </si>
  <si>
    <t>Truie non allaitante, par rotation</t>
  </si>
  <si>
    <t>Truie allaitante, y c. porcelets</t>
  </si>
  <si>
    <t>Truie allaitante, y c. porcelets,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</si>
  <si>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</si>
  <si>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</si>
  <si>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</si>
  <si>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</si>
  <si>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</si>
  <si>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</si>
  <si>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</si>
  <si>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</si>
  <si>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</si>
  <si>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</si>
  <si>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</si>
  <si>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</si>
  <si>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</si>
  <si>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</si>
  <si>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</si>
  <si>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</si>
  <si>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</si>
  <si>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</si>
  <si>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</si>
  <si>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</si>
  <si>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</si>
  <si>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</si>
  <si>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(120*0.1+245*0.3)/365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</si>
  <si>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</si>
  <si>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</si>
  <si>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</si>
  <si>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</si>
  <si>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</si>
  <si>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</si>
  <si>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</si>
  <si>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</si>
  <si>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</si>
  <si>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</si>
  <si>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</si>
  <si>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</si>
  <si>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</si>
  <si>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</si>
  <si>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</si>
  <si>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</si>
  <si>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</si>
  <si>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</si>
  <si>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</si>
  <si>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</si>
  <si>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</si>
  <si>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</si>
  <si>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</si>
  <si>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</si>
  <si>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</si>
  <si>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</si>
  <si>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</si>
  <si>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</si>
  <si>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</si>
  <si>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</si>
  <si>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</si>
  <si>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Mutterkuhkälber leicht, ca 350 kg</t>
  </si>
  <si>
    <t>Mutterkuhkälber schwer, ca 400 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</si>
  <si>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</si>
  <si>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</si>
  <si>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</si>
  <si>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</si>
  <si>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</si>
  <si>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</si>
  <si>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Porc à l'engrais/remonte de 25-100 kg</t>
  </si>
  <si>
    <t>Galtsauen, pro Umtrieb</t>
  </si>
  <si>
    <t>Zuchtschweine, säugend, pro Umtrieb</t>
  </si>
  <si>
    <t>Ferkel abgesetzt bis 25-30 kg</t>
  </si>
  <si>
    <t>Zuchtschweine inkl. Ferkel 25-30 kg</t>
  </si>
  <si>
    <t>Mastschweine / Remonten (25-100 kg)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</si>
  <si>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</si>
  <si>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</si>
  <si>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</si>
  <si>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</si>
  <si>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</si>
  <si>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</si>
  <si>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</si>
  <si>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</si>
  <si>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</si>
  <si>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</si>
  <si>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</si>
  <si>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</si>
  <si>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</si>
  <si>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</si>
  <si>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</si>
  <si>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</si>
  <si>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</si>
  <si>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</si>
  <si>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</si>
  <si>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</si>
  <si>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</si>
  <si>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Zuchtschweine, säugend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</si>
  <si>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</si>
  <si>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</si>
  <si>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</si>
  <si>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</si>
  <si>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</si>
  <si>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</si>
  <si>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</si>
  <si>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</si>
  <si>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</si>
  <si>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</si>
  <si>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</si>
  <si>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</si>
  <si>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</si>
  <si>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</si>
  <si>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</si>
  <si>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</si>
  <si>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</si>
  <si>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</si>
  <si>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</si>
  <si>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</si>
  <si>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</si>
  <si>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</si>
  <si>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</si>
  <si>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</si>
  <si>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</si>
  <si>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</si>
  <si>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</si>
  <si>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</si>
  <si>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</si>
  <si>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</si>
  <si>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</si>
  <si>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</si>
  <si>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</si>
  <si>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</si>
  <si>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Lama moins de 2 ans</t>
  </si>
  <si>
    <t>Alpaga plus de 2 ans</t>
  </si>
  <si>
    <t>Zwischenfutter, Aeugstlen, Frühjahrsschnitt vor Umbruch</t>
  </si>
  <si>
    <t>55-135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</si>
  <si>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</si>
  <si>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</si>
  <si>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</si>
  <si>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</si>
  <si>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</si>
  <si>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</si>
  <si>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</si>
  <si>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</si>
  <si>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</si>
  <si>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</si>
  <si>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</si>
  <si>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</si>
  <si>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</si>
  <si>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</si>
  <si>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</si>
  <si>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</si>
  <si>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</si>
  <si>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</si>
  <si>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</si>
  <si>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</si>
  <si>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</si>
  <si>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</si>
  <si>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</si>
  <si>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</si>
  <si>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</si>
  <si>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</si>
  <si>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</si>
  <si>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</si>
  <si>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</si>
  <si>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</si>
  <si>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</si>
  <si>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</si>
  <si>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</si>
  <si>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</si>
  <si>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</si>
  <si>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</si>
  <si>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</si>
  <si>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</si>
  <si>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</si>
  <si>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</si>
  <si>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</si>
  <si>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</si>
  <si>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</si>
  <si>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Mastschweineplatz / Remonten (25-100 kg)</t>
  </si>
  <si>
    <t>Porc à l'engrais/remonte (PPE) de 25-100 kg</t>
  </si>
  <si>
    <t>Galtsauenplatz</t>
  </si>
  <si>
    <t>GF-Verzehr zu hoch!</t>
  </si>
  <si>
    <t>Truie d'élevage, porcelets inclus 25-30 kg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</si>
  <si>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</si>
  <si>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</si>
  <si>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</si>
  <si>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</si>
  <si>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</si>
  <si>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</si>
  <si>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</si>
  <si>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</si>
  <si>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</si>
  <si>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</si>
  <si>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</si>
  <si>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</si>
  <si>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</si>
  <si>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</si>
  <si>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</si>
  <si>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</si>
  <si>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</si>
  <si>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</si>
  <si>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</si>
  <si>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</si>
  <si>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</si>
  <si>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</si>
  <si>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</si>
  <si>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</si>
  <si>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</si>
  <si>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</si>
  <si>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</si>
  <si>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</si>
  <si>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</si>
  <si>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>35-100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</si>
  <si>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</si>
  <si>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</si>
  <si>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</si>
  <si>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</si>
  <si>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</si>
  <si>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</si>
  <si>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</si>
  <si>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</si>
  <si>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</si>
  <si>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</si>
  <si>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</si>
  <si>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(160*0.13+205*0.33)/365</t>
  </si>
  <si>
    <t>Formel neue LBV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</si>
  <si>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</si>
  <si>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</si>
  <si>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</si>
  <si>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</si>
  <si>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</si>
  <si>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</si>
  <si>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</si>
  <si>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</si>
  <si>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TS-Korrektur MiK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</si>
  <si>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</si>
  <si>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</si>
  <si>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</si>
  <si>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</si>
  <si>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</si>
  <si>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</si>
  <si>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</si>
  <si>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</si>
  <si>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</si>
  <si>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</si>
  <si>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</si>
  <si>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</si>
  <si>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</si>
  <si>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</si>
  <si>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</si>
  <si>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</si>
  <si>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</si>
  <si>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</si>
  <si>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</si>
  <si>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</si>
  <si>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</si>
  <si>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</si>
  <si>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</si>
  <si>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</si>
  <si>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</si>
  <si>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</si>
  <si>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Affouragement pdt ou betterave?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</si>
  <si>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</si>
  <si>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</si>
  <si>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</si>
  <si>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</si>
  <si>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</si>
  <si>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</si>
  <si>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</si>
  <si>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</si>
  <si>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moins de 1 an</t>
  </si>
  <si>
    <t>Bovin d'élevage, 1 à 2 ans</t>
  </si>
  <si>
    <t>Génisse, plus de 2 ans</t>
  </si>
  <si>
    <t>Veau à l'engrais, 50-200 kg</t>
  </si>
  <si>
    <t>Veau allaité jusqu'à env. 350 kg PV</t>
  </si>
  <si>
    <t>Veau allaité jusqu'à env. 400 kg PV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</si>
  <si>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</si>
  <si>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</si>
  <si>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</si>
  <si>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</si>
  <si>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</si>
  <si>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</si>
  <si>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</si>
  <si>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</si>
  <si>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</si>
  <si>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</si>
  <si>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</si>
  <si>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</si>
  <si>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</si>
  <si>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</si>
  <si>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</si>
  <si>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</si>
  <si>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</si>
  <si>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</si>
  <si>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</si>
  <si>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</si>
  <si>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</si>
  <si>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</si>
  <si>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</si>
  <si>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</si>
  <si>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Dérobées, semis de PA d'été, rompue de printemps (si récoltés)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</si>
  <si>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</si>
  <si>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</si>
  <si>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</si>
  <si>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</si>
  <si>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</si>
  <si>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</si>
  <si>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</si>
  <si>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</si>
  <si>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</si>
  <si>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</si>
  <si>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</si>
  <si>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</si>
  <si>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</si>
  <si>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</si>
  <si>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</si>
  <si>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</si>
  <si>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</si>
  <si>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</si>
  <si>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</si>
  <si>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</si>
  <si>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</si>
  <si>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</si>
  <si>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</si>
  <si>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</si>
  <si>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C6: Pertes de conservation et à la crèche : 0-5% des besoins nets en fourrages   </t>
  </si>
  <si>
    <t xml:space="preserve">C7: Marge d'erreur sur le bilan de matière sèche (MS) : 0-5% des besoins nets en fourrages 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</si>
  <si>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</si>
  <si>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</si>
  <si>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</si>
  <si>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</si>
  <si>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</si>
  <si>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</si>
  <si>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</si>
  <si>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</si>
  <si>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</si>
  <si>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</si>
  <si>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</si>
  <si>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</si>
  <si>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</si>
  <si>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</si>
  <si>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</si>
  <si>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</si>
  <si>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</si>
  <si>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</si>
  <si>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</si>
  <si>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</si>
  <si>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C7: Fehlerbereich der Grundfutterbilanz: 0-5% vom Netto-Grundfutterbedarf</t>
  </si>
  <si>
    <t>C6: Zuzüglich Lagerungs- und Krippenverluste, 0-5% vom Netto-Grundfutterbedarf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</si>
  <si>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</si>
  <si>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</si>
  <si>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</si>
  <si>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</si>
  <si>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</si>
  <si>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</si>
  <si>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</si>
  <si>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</si>
  <si>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</si>
  <si>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</si>
  <si>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</si>
  <si>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</si>
  <si>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</si>
  <si>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</si>
  <si>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</si>
  <si>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</si>
  <si>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</si>
  <si>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</si>
  <si>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</si>
  <si>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</si>
  <si>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</si>
  <si>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</si>
  <si>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</si>
  <si>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</si>
  <si>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</si>
  <si>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</si>
  <si>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</si>
  <si>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</si>
  <si>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</si>
  <si>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</si>
  <si>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</si>
  <si>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</si>
  <si>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</si>
  <si>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</si>
  <si>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</si>
  <si>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</si>
  <si>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</si>
  <si>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</si>
  <si>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</si>
  <si>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</si>
  <si>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</si>
  <si>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</si>
  <si>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</si>
  <si>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</si>
  <si>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</si>
  <si>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</si>
  <si>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</si>
  <si>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</si>
  <si>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</si>
  <si>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</si>
  <si>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</si>
  <si>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</si>
  <si>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</si>
  <si>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</si>
  <si>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</si>
  <si>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</si>
  <si>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</si>
  <si>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</si>
  <si>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</si>
  <si>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</si>
  <si>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</si>
  <si>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</si>
  <si>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Foraggiamento a discrezione?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</si>
  <si>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</si>
  <si>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</si>
  <si>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</si>
  <si>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</si>
  <si>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</si>
  <si>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</si>
  <si>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</si>
  <si>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</si>
  <si>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</si>
  <si>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</si>
  <si>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</si>
  <si>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</si>
  <si>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</si>
  <si>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</si>
  <si>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</si>
  <si>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</si>
  <si>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</si>
  <si>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</si>
  <si>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</si>
  <si>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</si>
  <si>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</si>
  <si>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</si>
  <si>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</si>
  <si>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</si>
  <si>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</si>
  <si>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</si>
  <si>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</si>
  <si>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</si>
  <si>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0-1 anno</t>
  </si>
  <si>
    <t>Bestiame giovane, 1-2 anni</t>
  </si>
  <si>
    <t>Manzi &gt;2 anni</t>
  </si>
  <si>
    <t>Vitelli da ingrasso (50-200 kg)</t>
  </si>
  <si>
    <t>Vitelli di vacche madri leggeri, circa 350 kg</t>
  </si>
  <si>
    <t>Vitelli di vacche madri pesanti, circa 400 kg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</si>
  <si>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</si>
  <si>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</si>
  <si>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</si>
  <si>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</si>
  <si>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</si>
  <si>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</si>
  <si>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</si>
  <si>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</si>
  <si>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</si>
  <si>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</si>
  <si>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</si>
  <si>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</si>
  <si>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</si>
  <si>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</si>
  <si>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</si>
  <si>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</si>
  <si>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</si>
  <si>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</si>
  <si>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</si>
  <si>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</si>
  <si>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</si>
  <si>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</si>
  <si>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</si>
  <si>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</si>
  <si>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</si>
  <si>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</si>
  <si>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</si>
  <si>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</si>
  <si>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</si>
  <si>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</si>
  <si>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</si>
  <si>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</si>
  <si>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</si>
  <si>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Struzzi &lt; 13 mesi</t>
  </si>
  <si>
    <t>Posta suini da ingrasso / rimonte (25-100 kg)</t>
  </si>
  <si>
    <t>Suini da ingrasso / rimonte (25-100 kg)</t>
  </si>
  <si>
    <t>Suini da allevamento incl. suinetti 25-30 kg</t>
  </si>
  <si>
    <t>Posta da scrofa in asciutta</t>
  </si>
  <si>
    <t>Scrofe in asciutta, per ciclo</t>
  </si>
  <si>
    <t>Scrofe riproduttrici, in lattazione</t>
  </si>
  <si>
    <t>Scrofe riproduttrici, in lattazione, per ciclo</t>
  </si>
  <si>
    <t>Verri da allevamento</t>
  </si>
  <si>
    <t>Suinetti svezzati fino a 25-30 kg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</si>
  <si>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</si>
  <si>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</si>
  <si>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</si>
  <si>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</si>
  <si>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</si>
  <si>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</si>
  <si>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</si>
  <si>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</si>
  <si>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</si>
  <si>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</si>
  <si>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</si>
  <si>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</si>
  <si>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</si>
  <si>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</si>
  <si>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</si>
  <si>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</si>
  <si>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</si>
  <si>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</si>
  <si>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</si>
  <si>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</si>
  <si>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</si>
  <si>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</si>
  <si>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</si>
  <si>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</si>
  <si>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</si>
  <si>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</si>
  <si>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</si>
  <si>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</si>
  <si>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</si>
  <si>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</si>
  <si>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</si>
  <si>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</si>
  <si>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</si>
  <si>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</si>
  <si>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</si>
  <si>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</si>
  <si>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</si>
  <si>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</si>
  <si>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</si>
  <si>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</si>
  <si>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</si>
  <si>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</si>
  <si>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</si>
  <si>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</si>
  <si>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</si>
  <si>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</si>
  <si>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</si>
  <si>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</si>
  <si>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</si>
  <si>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</si>
  <si>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</si>
  <si>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</si>
  <si>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</si>
  <si>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</si>
  <si>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</si>
  <si>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</si>
  <si>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</si>
  <si>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</si>
  <si>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</si>
  <si>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</si>
  <si>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</si>
  <si>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</si>
  <si>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</si>
  <si>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</si>
  <si>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Übriges Grund-</t>
  </si>
  <si>
    <t>futter total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</si>
  <si>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</si>
  <si>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</si>
  <si>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</si>
  <si>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</si>
  <si>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</si>
  <si>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</si>
  <si>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</si>
  <si>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</si>
  <si>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</si>
  <si>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</si>
  <si>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</si>
  <si>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C6: più perdite da stoccaggio e da foraggiamento, 0,5% del fabbisogno foraggio di base netto </t>
  </si>
  <si>
    <t>C7: margine d'errore del bilancio del foraggio di base:0-5%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</si>
  <si>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</si>
  <si>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</si>
  <si>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</si>
  <si>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</si>
  <si>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</si>
  <si>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</si>
  <si>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</si>
  <si>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</si>
  <si>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</si>
  <si>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</si>
  <si>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</si>
  <si>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</si>
  <si>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</si>
  <si>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</si>
  <si>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</si>
  <si>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Biertreber</t>
  </si>
  <si>
    <t>Drêches de brasserie</t>
  </si>
  <si>
    <t>Borlande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</si>
  <si>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</si>
  <si>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</si>
  <si>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</si>
  <si>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</si>
  <si>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</si>
  <si>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</si>
  <si>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</si>
  <si>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</si>
  <si>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</si>
  <si>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</si>
  <si>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</si>
  <si>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</si>
  <si>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</si>
  <si>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</si>
  <si>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</si>
  <si>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</si>
  <si>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</si>
  <si>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</si>
  <si>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</si>
  <si>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</si>
  <si>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</si>
  <si>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</si>
  <si>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</si>
  <si>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</si>
  <si>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</si>
  <si>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</si>
  <si>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</si>
  <si>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</si>
  <si>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</si>
  <si>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</si>
  <si>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patate o barbabietole da foraggio?</t>
  </si>
  <si>
    <t>Foglie di barbabietola</t>
  </si>
  <si>
    <t>Cubetti d'erba</t>
  </si>
  <si>
    <t>Cubetti da mais pianta intera</t>
  </si>
  <si>
    <t>Foraggio essiccato, a tenore ridotto di sost. nutri.</t>
  </si>
  <si>
    <t xml:space="preserve"> sfalci primaverili prima del dissodamento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</si>
  <si>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</si>
  <si>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</si>
  <si>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</si>
  <si>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</si>
  <si>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</si>
  <si>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</si>
  <si>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</si>
  <si>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</si>
  <si>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</si>
  <si>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</si>
  <si>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</si>
  <si>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</si>
  <si>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</si>
  <si>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</si>
  <si>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</si>
  <si>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</si>
  <si>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</si>
  <si>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</si>
  <si>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</si>
  <si>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</si>
  <si>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</si>
  <si>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</si>
  <si>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</si>
  <si>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</si>
  <si>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</si>
  <si>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</si>
  <si>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</si>
  <si>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</si>
  <si>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</si>
  <si>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</si>
  <si>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</si>
  <si>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</si>
  <si>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</si>
  <si>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</si>
  <si>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</si>
  <si>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</si>
  <si>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</si>
  <si>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</si>
  <si>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</si>
  <si>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</si>
  <si>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</si>
  <si>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</si>
  <si>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</si>
  <si>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</si>
  <si>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</si>
  <si>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</si>
  <si>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</si>
  <si>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</si>
  <si>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</si>
  <si>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</si>
  <si>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</si>
  <si>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</si>
  <si>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</si>
  <si>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</si>
  <si>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</si>
  <si>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ausblenden T-AF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</si>
  <si>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</si>
  <si>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</si>
  <si>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</si>
  <si>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</si>
  <si>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</si>
  <si>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</si>
  <si>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</si>
  <si>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</si>
  <si>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</si>
  <si>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</si>
  <si>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Kraftfuttermenge aufgrund Milchleistung (andere Kühe)</t>
  </si>
  <si>
    <t>Kraftfuttermenge aufgrund Milchleistung (Milchkühe)</t>
  </si>
  <si>
    <t>Tab. für SVerweis für Kraftfutterberechnung</t>
  </si>
  <si>
    <t>Berechnung GF-Korrektur aufgrund Kfmenge (Milchkühe)</t>
  </si>
  <si>
    <t>Berechnung GF-Korrektur aufgrund Kfmenge (andere Kühe)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</si>
  <si>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</si>
  <si>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</si>
  <si>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</si>
  <si>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</si>
  <si>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</si>
  <si>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</si>
  <si>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</si>
  <si>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</si>
  <si>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</si>
  <si>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</si>
  <si>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</si>
  <si>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</si>
  <si>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</si>
  <si>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</si>
  <si>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</si>
  <si>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</si>
  <si>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</si>
  <si>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</si>
  <si>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</si>
  <si>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</si>
  <si>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</si>
  <si>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</si>
  <si>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</si>
  <si>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</si>
  <si>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</si>
  <si>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</si>
  <si>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</si>
  <si>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</si>
  <si>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</si>
  <si>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</si>
  <si>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</si>
  <si>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</si>
  <si>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</si>
  <si>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</si>
  <si>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</si>
  <si>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</si>
  <si>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</si>
  <si>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</si>
  <si>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</si>
  <si>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</si>
  <si>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</si>
  <si>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</si>
  <si>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</si>
  <si>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</si>
  <si>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</si>
  <si>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</si>
  <si>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</si>
  <si>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</si>
  <si>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</si>
  <si>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</si>
  <si>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</si>
  <si>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</si>
  <si>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</si>
  <si>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</si>
  <si>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</si>
  <si>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</si>
  <si>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leicht (LG&lt;600 kg)</t>
  </si>
  <si>
    <t>Mutterkühe mittel (LG 600-700 kg)</t>
  </si>
  <si>
    <t>Mutterkühe schwer (LG 700-800 kg)</t>
  </si>
  <si>
    <t>Vache mère légère (PV &lt;600 kg), sans veau</t>
  </si>
  <si>
    <t>Vache mère moyenne (PV 600-700 kg), sans veau</t>
  </si>
  <si>
    <t>Vache mère lourde (PV 700-800 kg), sans veau</t>
  </si>
  <si>
    <t>Vacche madri pesanti (700-800 kg)</t>
  </si>
  <si>
    <t>Vacche madri leggere (&lt;600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</si>
  <si>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</si>
  <si>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</si>
  <si>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</si>
  <si>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</si>
  <si>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</si>
  <si>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</si>
  <si>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</si>
  <si>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</si>
  <si>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</si>
  <si>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</si>
  <si>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</si>
  <si>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</si>
  <si>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</si>
  <si>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</si>
  <si>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</si>
  <si>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</si>
  <si>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</si>
  <si>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</si>
  <si>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</si>
  <si>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</si>
  <si>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</si>
  <si>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</si>
  <si>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</si>
  <si>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</si>
  <si>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</si>
  <si>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</si>
  <si>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</si>
  <si>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</si>
  <si>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</si>
  <si>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</si>
  <si>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</si>
  <si>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</si>
  <si>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</si>
  <si>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</si>
  <si>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</si>
  <si>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</si>
  <si>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</si>
  <si>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</si>
  <si>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</si>
  <si>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</si>
  <si>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</si>
  <si>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</si>
  <si>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</si>
  <si>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</si>
  <si>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</si>
  <si>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</si>
  <si>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</si>
  <si>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</si>
  <si>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</si>
  <si>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</si>
  <si>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</si>
  <si>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</si>
  <si>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</si>
  <si>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</si>
  <si>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</si>
  <si>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</si>
  <si>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</si>
  <si>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</si>
  <si>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</si>
  <si>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</si>
  <si>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</si>
  <si>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</si>
  <si>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</si>
  <si>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</si>
  <si>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</si>
  <si>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</si>
  <si>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</si>
  <si>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</si>
  <si>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</si>
  <si>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</si>
  <si>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</si>
  <si>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</si>
  <si>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</si>
  <si>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</si>
  <si>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</si>
  <si>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</si>
  <si>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</si>
  <si>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</si>
  <si>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</si>
  <si>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</si>
  <si>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</si>
  <si>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</si>
  <si>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</si>
  <si>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</si>
  <si>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</si>
  <si>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</si>
  <si>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</si>
  <si>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</si>
  <si>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</si>
  <si>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</si>
  <si>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</si>
  <si>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</si>
  <si>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</si>
  <si>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</si>
  <si>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</si>
  <si>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</si>
  <si>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</si>
  <si>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</si>
  <si>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intensiv, 65-520 kg</t>
  </si>
  <si>
    <t>Rindviehmast Tränker &lt; 4 Mte.</t>
  </si>
  <si>
    <t>Rindviehmast intensiv &gt; 4 Monate</t>
  </si>
  <si>
    <t>Rindviehmast Weidemast &gt; 4 Monate</t>
  </si>
  <si>
    <t>Rindviehmast, intensive Ausmast</t>
  </si>
  <si>
    <t>Bovin à l'engrais, intensif, 65-520 kg</t>
  </si>
  <si>
    <t>Bovini da ingrasso, intensivo, 65-520 kg</t>
  </si>
  <si>
    <t>Bovin à l'engrais, sevrage, &lt; 4 mois</t>
  </si>
  <si>
    <t>Bovini da ingrasso, svezzamento &lt; 4 mesi</t>
  </si>
  <si>
    <t>Bovin à l'engrais, intensif, &gt; 4 mois</t>
  </si>
  <si>
    <t>Bovini da ingrasso, intensivo &gt; 4 mesi</t>
  </si>
  <si>
    <t>Bovin à l'engrais, pâturage, &gt; 4 mois</t>
  </si>
  <si>
    <t>Bovini da ingrasso, pascolo &gt; 4 mesi</t>
  </si>
  <si>
    <t>Bovin à l'engrais finition (intensive)</t>
  </si>
  <si>
    <t>Bovini da ingrasso, finissaggio intensivo</t>
  </si>
  <si>
    <t xml:space="preserve">Die Berechnung des massgebenden Tierbesatzes für die Futterbilanz 2018 basiert auf dem effektiven </t>
  </si>
  <si>
    <t xml:space="preserve">Tierbestand in der Periode vom 1.1.2018 - 31.12.2018. Weil dieser zur Zeit noch nicht bekannt ist, </t>
  </si>
  <si>
    <t>Le calcul de la charge effective en bétail pour le bilan fourrager 2018 s’appuie sur les effectifs déterminants</t>
  </si>
  <si>
    <t>d’animaux pour la période 1.1.2018 – 31.12.2018. Comme ces derniers ne sont pas encore connus, le montant</t>
  </si>
  <si>
    <t xml:space="preserve">Il calcolo del carico effettivo di bestiame per il bilancio foraggero 2018 si basa sugli effettivi </t>
  </si>
  <si>
    <t>animali per il periodo 1.1.2018 – 31.12.2018. Siccome questi ultimi non sono ancora noti, l'importo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</si>
  <si>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</si>
  <si>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</si>
  <si>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</si>
  <si>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</si>
  <si>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</si>
  <si>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 xml:space="preserve">    - Se i dati dell'estivazione sono registrati, è necessario dichiarare la quantità di</t>
  </si>
  <si>
    <t xml:space="preserve">       forragio concentrato nel piano di foraggio.</t>
  </si>
  <si>
    <t>GMF_121</t>
  </si>
  <si>
    <t>übersetungen Ital. Vervollständigt; Fusszeilen Versionsnummer; Bezüge im Blatt Texte für I korrigiert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</si>
</sst>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General_)"/>
    <numFmt numFmtId="165" formatCode="0_)"/>
    <numFmt numFmtId="166" formatCode="0.00_)"/>
    <numFmt numFmtId="167" formatCode="0.0_)"/>
    <numFmt numFmtId="168" formatCode="0.0"/>
    <numFmt numFmtId="169" formatCode="0__"/>
    <numFmt numFmtId="170" formatCode="0_)\ "/>
    <numFmt numFmtId="171" formatCode="0.0\ &quot;%&quot;"/>
    <numFmt numFmtId="172" formatCode="0\ &quot;Tage&quot;"/>
    <numFmt numFmtId="173" formatCode="0.00\ &quot;ha&quot;"/>
    <numFmt numFmtId="174" formatCode="0\ &quot;m.ü.M&quot;"/>
    <numFmt numFmtId="175" formatCode="#,##0_)"/>
    <numFmt numFmtId="176" formatCode="0.000"/>
    <numFmt numFmtId="177" formatCode="#,##0_ ;[Red]\-#,##0\ "/>
    <numFmt numFmtId="178" formatCode="0.0_);\-\ 0.0_);"/>
    <numFmt numFmtId="179" formatCode="#,##0_);\-\ #,##0_);"/>
    <numFmt numFmtId="180" formatCode="#,##0_);\-#,##0_);"/>
    <numFmt numFmtId="181" formatCode="General_);\-General_);"/>
    <numFmt numFmtId="182" formatCode="0.0_);\-0.0_);"/>
    <numFmt numFmtId="183" formatCode="0.00_);\-0.00_);"/>
  </numFmts>
  <fonts count="74">
    <font>
      <sz val="10"/>
      <name val="Arial"/>
    </font>
    <font>
      <sz val="10"/>
      <name val="Arial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Courier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0"/>
      <color indexed="36"/>
      <name val="Arial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</font>
    <font>
      <sz val="9"/>
      <name val="Helvetica"/>
    </font>
    <font>
      <u/>
      <sz val="10"/>
      <color indexed="12"/>
      <name val="Arial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0" borderId="2" applyNumberFormat="0" applyAlignment="0" applyProtection="0"/>
    <xf numFmtId="0" fontId="7" fillId="0" borderId="3" applyNumberFormat="0" applyFill="0" applyAlignment="0" applyProtection="0"/>
    <xf numFmtId="0" fontId="8" fillId="4" borderId="4" applyNumberFormat="0" applyFont="0" applyAlignment="0" applyProtection="0"/>
    <xf numFmtId="0" fontId="40" fillId="0" borderId="0"/>
    <xf numFmtId="0" fontId="41" fillId="0" borderId="0">
      <protection locked="0"/>
    </xf>
    <xf numFmtId="0" fontId="9" fillId="3" borderId="2" applyNumberFormat="0" applyAlignment="0" applyProtection="0"/>
    <xf numFmtId="0" fontId="11" fillId="7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11" borderId="0" applyNumberFormat="0" applyBorder="0" applyAlignment="0" applyProtection="0"/>
    <xf numFmtId="168" fontId="8" fillId="0" borderId="0"/>
    <xf numFmtId="0" fontId="13" fillId="0" borderId="0"/>
    <xf numFmtId="0" fontId="13" fillId="0" borderId="0"/>
    <xf numFmtId="0" fontId="14" fillId="6" borderId="0" applyNumberFormat="0" applyBorder="0" applyAlignment="0" applyProtection="0"/>
    <xf numFmtId="0" fontId="15" fillId="10" borderId="1" applyNumberFormat="0" applyAlignment="0" applyProtection="0"/>
    <xf numFmtId="168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699">
    <xf numFmtId="0" fontId="0" fillId="0" borderId="0" xfId="0"/>
    <xf numFmtId="168" fontId="13" fillId="0" borderId="0" xfId="61" applyFont="1"/>
    <xf numFmtId="168" fontId="13" fillId="0" borderId="10" xfId="61" applyFont="1" applyBorder="1" applyAlignment="1" applyProtection="1">
      <alignment vertical="center"/>
    </xf>
    <xf numFmtId="165" fontId="13" fillId="24" borderId="11" xfId="61" applyNumberFormat="1" applyFont="1" applyFill="1" applyBorder="1" applyAlignment="1" applyProtection="1">
      <alignment vertical="center"/>
      <protection locked="0"/>
    </xf>
    <xf numFmtId="165" fontId="13" fillId="24" borderId="12" xfId="61" applyNumberFormat="1" applyFont="1" applyFill="1" applyBorder="1" applyAlignment="1" applyProtection="1">
      <alignment vertical="center"/>
      <protection locked="0"/>
    </xf>
    <xf numFmtId="171" fontId="13" fillId="24" borderId="13" xfId="61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4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Continuous"/>
    </xf>
    <xf numFmtId="0" fontId="29" fillId="0" borderId="0" xfId="0" applyNumberFormat="1" applyFont="1" applyFill="1" applyBorder="1" applyAlignment="1" applyProtection="1">
      <alignment horizontal="right"/>
    </xf>
    <xf numFmtId="0" fontId="43" fillId="0" borderId="0" xfId="0" applyNumberFormat="1" applyFont="1" applyFill="1" applyBorder="1" applyAlignment="1" applyProtection="1">
      <alignment horizontal="right"/>
    </xf>
    <xf numFmtId="168" fontId="45" fillId="0" borderId="0" xfId="61" applyFont="1" applyAlignment="1">
      <alignment horizontal="center" vertical="center"/>
    </xf>
    <xf numFmtId="2" fontId="13" fillId="0" borderId="0" xfId="61" applyNumberFormat="1" applyFont="1"/>
    <xf numFmtId="1" fontId="45" fillId="25" borderId="0" xfId="61" applyNumberFormat="1" applyFont="1" applyFill="1" applyBorder="1" applyAlignment="1">
      <alignment horizontal="center" vertical="center"/>
    </xf>
    <xf numFmtId="1" fontId="45" fillId="25" borderId="15" xfId="61" applyNumberFormat="1" applyFont="1" applyFill="1" applyBorder="1" applyAlignment="1">
      <alignment horizontal="center" vertical="center"/>
    </xf>
    <xf numFmtId="168" fontId="27" fillId="0" borderId="16" xfId="61" applyFont="1" applyBorder="1" applyAlignment="1"/>
    <xf numFmtId="168" fontId="27" fillId="0" borderId="17" xfId="61" applyFont="1" applyBorder="1" applyAlignment="1"/>
    <xf numFmtId="168" fontId="27" fillId="0" borderId="18" xfId="61" applyFont="1" applyBorder="1" applyAlignment="1"/>
    <xf numFmtId="168" fontId="13" fillId="0" borderId="16" xfId="61" applyFont="1" applyBorder="1" applyAlignment="1"/>
    <xf numFmtId="168" fontId="13" fillId="0" borderId="19" xfId="61" applyFont="1" applyBorder="1" applyAlignment="1"/>
    <xf numFmtId="168" fontId="13" fillId="0" borderId="20" xfId="61" applyFont="1" applyBorder="1" applyAlignment="1"/>
    <xf numFmtId="168" fontId="27" fillId="0" borderId="19" xfId="61" applyFont="1" applyBorder="1" applyAlignment="1"/>
    <xf numFmtId="168" fontId="27" fillId="0" borderId="20" xfId="61" applyFont="1" applyBorder="1" applyAlignment="1"/>
    <xf numFmtId="168" fontId="27" fillId="0" borderId="19" xfId="61" applyFont="1" applyBorder="1" applyAlignment="1">
      <alignment horizontal="center" vertical="center"/>
    </xf>
    <xf numFmtId="168" fontId="27" fillId="0" borderId="19" xfId="61" applyFont="1" applyBorder="1" applyAlignment="1">
      <alignment horizontal="center" vertical="center" wrapText="1"/>
    </xf>
    <xf numFmtId="168" fontId="13" fillId="0" borderId="21" xfId="61" applyFont="1" applyBorder="1" applyAlignment="1"/>
    <xf numFmtId="168" fontId="13" fillId="0" borderId="22" xfId="61" applyFont="1" applyBorder="1" applyAlignment="1"/>
    <xf numFmtId="168" fontId="27" fillId="0" borderId="21" xfId="61" applyFont="1" applyBorder="1" applyAlignment="1">
      <alignment horizontal="center" vertical="center"/>
    </xf>
    <xf numFmtId="168" fontId="27" fillId="0" borderId="21" xfId="61" applyFont="1" applyBorder="1" applyAlignment="1">
      <alignment horizontal="center" vertical="center" wrapText="1"/>
    </xf>
    <xf numFmtId="168" fontId="13" fillId="24" borderId="17" xfId="61" applyFont="1" applyFill="1" applyBorder="1" applyAlignment="1">
      <alignment vertical="center"/>
    </xf>
    <xf numFmtId="169" fontId="13" fillId="26" borderId="17" xfId="61" applyNumberFormat="1" applyFont="1" applyFill="1" applyBorder="1" applyAlignment="1">
      <alignment horizontal="center" vertical="center"/>
    </xf>
    <xf numFmtId="168" fontId="13" fillId="24" borderId="19" xfId="61" applyFont="1" applyFill="1" applyBorder="1" applyAlignment="1">
      <alignment vertical="center"/>
    </xf>
    <xf numFmtId="167" fontId="13" fillId="25" borderId="19" xfId="61" applyNumberFormat="1" applyFont="1" applyFill="1" applyBorder="1" applyAlignment="1">
      <alignment horizontal="center" vertical="center"/>
    </xf>
    <xf numFmtId="169" fontId="13" fillId="26" borderId="19" xfId="61" applyNumberFormat="1" applyFont="1" applyFill="1" applyBorder="1" applyAlignment="1">
      <alignment horizontal="center" vertical="center"/>
    </xf>
    <xf numFmtId="168" fontId="13" fillId="24" borderId="11" xfId="61" applyFont="1" applyFill="1" applyBorder="1" applyAlignment="1">
      <alignment vertical="center"/>
    </xf>
    <xf numFmtId="167" fontId="13" fillId="25" borderId="11" xfId="61" applyNumberFormat="1" applyFont="1" applyFill="1" applyBorder="1" applyAlignment="1">
      <alignment horizontal="center" vertical="center"/>
    </xf>
    <xf numFmtId="169" fontId="13" fillId="26" borderId="11" xfId="61" applyNumberFormat="1" applyFont="1" applyFill="1" applyBorder="1" applyAlignment="1">
      <alignment horizontal="center" vertical="center"/>
    </xf>
    <xf numFmtId="168" fontId="13" fillId="26" borderId="19" xfId="61" applyNumberFormat="1" applyFont="1" applyFill="1" applyBorder="1" applyAlignment="1">
      <alignment horizontal="center" vertical="center"/>
    </xf>
    <xf numFmtId="168" fontId="13" fillId="26" borderId="11" xfId="61" applyNumberFormat="1" applyFont="1" applyFill="1" applyBorder="1" applyAlignment="1">
      <alignment horizontal="center" vertical="center"/>
    </xf>
    <xf numFmtId="167" fontId="13" fillId="26" borderId="19" xfId="61" applyNumberFormat="1" applyFont="1" applyFill="1" applyBorder="1" applyAlignment="1">
      <alignment horizontal="center" vertical="center"/>
    </xf>
    <xf numFmtId="167" fontId="13" fillId="26" borderId="11" xfId="61" applyNumberFormat="1" applyFont="1" applyFill="1" applyBorder="1" applyAlignment="1">
      <alignment horizontal="center" vertical="center"/>
    </xf>
    <xf numFmtId="167" fontId="13" fillId="26" borderId="12" xfId="61" applyNumberFormat="1" applyFont="1" applyFill="1" applyBorder="1" applyAlignment="1">
      <alignment horizontal="center" vertical="center"/>
    </xf>
    <xf numFmtId="166" fontId="13" fillId="26" borderId="19" xfId="61" applyNumberFormat="1" applyFont="1" applyFill="1" applyBorder="1" applyAlignment="1">
      <alignment horizontal="center" vertical="center"/>
    </xf>
    <xf numFmtId="168" fontId="36" fillId="0" borderId="0" xfId="61" applyFont="1"/>
    <xf numFmtId="168" fontId="35" fillId="0" borderId="0" xfId="61" applyFont="1"/>
    <xf numFmtId="168" fontId="13" fillId="24" borderId="23" xfId="61" applyFont="1" applyFill="1" applyBorder="1" applyAlignment="1">
      <alignment vertical="center"/>
    </xf>
    <xf numFmtId="168" fontId="13" fillId="0" borderId="0" xfId="61" applyNumberFormat="1" applyFont="1" applyFill="1" applyBorder="1" applyAlignment="1" applyProtection="1">
      <alignment vertical="center"/>
    </xf>
    <xf numFmtId="164" fontId="13" fillId="0" borderId="16" xfId="61" applyNumberFormat="1" applyFont="1" applyFill="1" applyBorder="1" applyAlignment="1" applyProtection="1">
      <alignment vertical="center"/>
    </xf>
    <xf numFmtId="165" fontId="13" fillId="0" borderId="12" xfId="61" applyNumberFormat="1" applyFont="1" applyFill="1" applyBorder="1" applyAlignment="1" applyProtection="1">
      <alignment horizontal="center" vertical="center"/>
    </xf>
    <xf numFmtId="165" fontId="13" fillId="27" borderId="12" xfId="61" applyNumberFormat="1" applyFont="1" applyFill="1" applyBorder="1" applyAlignment="1" applyProtection="1">
      <alignment horizontal="center" vertical="center"/>
      <protection locked="0"/>
    </xf>
    <xf numFmtId="165" fontId="13" fillId="24" borderId="13" xfId="61" applyNumberFormat="1" applyFont="1" applyFill="1" applyBorder="1" applyAlignment="1" applyProtection="1">
      <alignment horizontal="center" vertical="center"/>
      <protection locked="0"/>
    </xf>
    <xf numFmtId="168" fontId="13" fillId="0" borderId="24" xfId="61" applyFont="1" applyBorder="1" applyAlignment="1" applyProtection="1">
      <alignment vertical="center"/>
    </xf>
    <xf numFmtId="165" fontId="13" fillId="24" borderId="23" xfId="61" applyNumberFormat="1" applyFont="1" applyFill="1" applyBorder="1" applyAlignment="1" applyProtection="1">
      <alignment vertical="center"/>
      <protection locked="0"/>
    </xf>
    <xf numFmtId="165" fontId="13" fillId="27" borderId="25" xfId="61" applyNumberFormat="1" applyFont="1" applyFill="1" applyBorder="1" applyAlignment="1" applyProtection="1">
      <alignment horizontal="center" vertical="center"/>
      <protection locked="0"/>
    </xf>
    <xf numFmtId="171" fontId="13" fillId="24" borderId="13" xfId="61" applyNumberFormat="1" applyFont="1" applyFill="1" applyBorder="1" applyAlignment="1" applyProtection="1">
      <alignment horizontal="center" vertical="center"/>
      <protection locked="0"/>
    </xf>
    <xf numFmtId="168" fontId="13" fillId="0" borderId="26" xfId="61" applyFont="1" applyBorder="1" applyAlignment="1" applyProtection="1">
      <alignment vertical="center"/>
    </xf>
    <xf numFmtId="165" fontId="13" fillId="24" borderId="27" xfId="61" applyNumberFormat="1" applyFont="1" applyFill="1" applyBorder="1" applyAlignment="1" applyProtection="1">
      <alignment vertical="center"/>
      <protection locked="0"/>
    </xf>
    <xf numFmtId="165" fontId="13" fillId="0" borderId="27" xfId="61" applyNumberFormat="1" applyFont="1" applyFill="1" applyBorder="1" applyAlignment="1" applyProtection="1">
      <alignment horizontal="center" vertical="center"/>
    </xf>
    <xf numFmtId="168" fontId="13" fillId="24" borderId="15" xfId="61" applyFont="1" applyFill="1" applyBorder="1" applyAlignment="1" applyProtection="1">
      <alignment vertical="center"/>
      <protection locked="0"/>
    </xf>
    <xf numFmtId="168" fontId="13" fillId="24" borderId="15" xfId="6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168" fontId="13" fillId="26" borderId="19" xfId="6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/>
    </xf>
    <xf numFmtId="0" fontId="0" fillId="27" borderId="28" xfId="0" applyFill="1" applyBorder="1" applyProtection="1"/>
    <xf numFmtId="49" fontId="13" fillId="24" borderId="28" xfId="0" applyNumberFormat="1" applyFont="1" applyFill="1" applyBorder="1" applyAlignment="1" applyProtection="1"/>
    <xf numFmtId="0" fontId="0" fillId="0" borderId="28" xfId="0" applyBorder="1" applyProtection="1"/>
    <xf numFmtId="168" fontId="27" fillId="0" borderId="29" xfId="61" applyFont="1" applyFill="1" applyBorder="1" applyAlignment="1" applyProtection="1">
      <alignment vertical="center"/>
    </xf>
    <xf numFmtId="0" fontId="27" fillId="0" borderId="29" xfId="61" applyNumberFormat="1" applyFont="1" applyFill="1" applyBorder="1" applyAlignment="1" applyProtection="1">
      <alignment horizontal="center" vertical="center"/>
    </xf>
    <xf numFmtId="1" fontId="27" fillId="0" borderId="29" xfId="61" applyNumberFormat="1" applyFont="1" applyFill="1" applyBorder="1" applyAlignment="1" applyProtection="1">
      <alignment horizontal="center"/>
    </xf>
    <xf numFmtId="167" fontId="27" fillId="0" borderId="29" xfId="61" applyNumberFormat="1" applyFont="1" applyFill="1" applyBorder="1" applyAlignment="1" applyProtection="1">
      <alignment vertical="center"/>
    </xf>
    <xf numFmtId="168" fontId="27" fillId="0" borderId="29" xfId="61" applyNumberFormat="1" applyFont="1" applyFill="1" applyBorder="1" applyAlignment="1" applyProtection="1">
      <alignment vertical="center"/>
    </xf>
    <xf numFmtId="2" fontId="45" fillId="0" borderId="0" xfId="61" applyNumberFormat="1" applyFont="1" applyAlignment="1">
      <alignment horizontal="center" vertical="center"/>
    </xf>
    <xf numFmtId="2" fontId="45" fillId="25" borderId="0" xfId="61" applyNumberFormat="1" applyFont="1" applyFill="1" applyBorder="1" applyAlignment="1">
      <alignment horizontal="center" vertical="center"/>
    </xf>
    <xf numFmtId="168" fontId="13" fillId="0" borderId="0" xfId="61" applyFont="1" applyFill="1" applyAlignment="1" applyProtection="1">
      <alignment vertical="center"/>
      <protection hidden="1"/>
    </xf>
    <xf numFmtId="166" fontId="13" fillId="24" borderId="10" xfId="61" applyNumberFormat="1" applyFont="1" applyFill="1" applyBorder="1" applyAlignment="1" applyProtection="1">
      <alignment vertical="center"/>
      <protection locked="0"/>
    </xf>
    <xf numFmtId="169" fontId="13" fillId="24" borderId="10" xfId="61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/>
    <xf numFmtId="0" fontId="27" fillId="24" borderId="30" xfId="0" applyNumberFormat="1" applyFont="1" applyFill="1" applyBorder="1" applyAlignment="1" applyProtection="1">
      <alignment horizontal="left"/>
      <protection locked="0"/>
    </xf>
    <xf numFmtId="0" fontId="13" fillId="24" borderId="30" xfId="0" applyNumberFormat="1" applyFont="1" applyFill="1" applyBorder="1" applyAlignment="1" applyProtection="1">
      <alignment horizontal="left"/>
    </xf>
    <xf numFmtId="0" fontId="13" fillId="24" borderId="30" xfId="0" applyNumberFormat="1" applyFont="1" applyFill="1" applyBorder="1" applyAlignment="1" applyProtection="1">
      <alignment horizontal="left"/>
      <protection locked="0"/>
    </xf>
    <xf numFmtId="0" fontId="13" fillId="24" borderId="30" xfId="0" applyNumberFormat="1" applyFont="1" applyFill="1" applyBorder="1" applyAlignment="1" applyProtection="1"/>
    <xf numFmtId="49" fontId="13" fillId="24" borderId="30" xfId="0" applyNumberFormat="1" applyFont="1" applyFill="1" applyBorder="1" applyAlignment="1" applyProtection="1">
      <protection locked="0"/>
    </xf>
    <xf numFmtId="49" fontId="13" fillId="24" borderId="3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49" fontId="46" fillId="24" borderId="30" xfId="54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right"/>
    </xf>
    <xf numFmtId="1" fontId="33" fillId="0" borderId="0" xfId="61" applyNumberFormat="1" applyFont="1" applyBorder="1" applyAlignment="1" applyProtection="1">
      <alignment horizontal="right"/>
      <protection hidden="1"/>
    </xf>
    <xf numFmtId="0" fontId="0" fillId="0" borderId="0" xfId="0" quotePrefix="1" applyFill="1"/>
    <xf numFmtId="175" fontId="13" fillId="24" borderId="11" xfId="61" applyNumberFormat="1" applyFont="1" applyFill="1" applyBorder="1" applyAlignment="1" applyProtection="1">
      <alignment vertical="center"/>
      <protection locked="0"/>
    </xf>
    <xf numFmtId="175" fontId="13" fillId="24" borderId="12" xfId="61" applyNumberFormat="1" applyFont="1" applyFill="1" applyBorder="1" applyAlignment="1" applyProtection="1">
      <alignment vertical="center"/>
      <protection locked="0"/>
    </xf>
    <xf numFmtId="175" fontId="13" fillId="24" borderId="23" xfId="61" applyNumberFormat="1" applyFont="1" applyFill="1" applyBorder="1" applyAlignment="1" applyProtection="1">
      <alignment vertical="center"/>
      <protection locked="0"/>
    </xf>
    <xf numFmtId="175" fontId="13" fillId="24" borderId="27" xfId="61" applyNumberFormat="1" applyFont="1" applyFill="1" applyBorder="1" applyAlignment="1" applyProtection="1">
      <alignment vertical="center"/>
      <protection locked="0"/>
    </xf>
    <xf numFmtId="175" fontId="13" fillId="24" borderId="10" xfId="61" applyNumberFormat="1" applyFont="1" applyFill="1" applyBorder="1" applyAlignment="1" applyProtection="1">
      <alignment vertical="center"/>
      <protection locked="0"/>
    </xf>
    <xf numFmtId="175" fontId="13" fillId="24" borderId="24" xfId="61" applyNumberFormat="1" applyFont="1" applyFill="1" applyBorder="1" applyAlignment="1" applyProtection="1">
      <alignment vertical="center"/>
      <protection locked="0"/>
    </xf>
    <xf numFmtId="167" fontId="13" fillId="24" borderId="12" xfId="61" applyNumberFormat="1" applyFont="1" applyFill="1" applyBorder="1" applyAlignment="1" applyProtection="1">
      <alignment vertical="center"/>
      <protection locked="0"/>
    </xf>
    <xf numFmtId="167" fontId="13" fillId="24" borderId="27" xfId="61" applyNumberFormat="1" applyFont="1" applyFill="1" applyBorder="1" applyAlignment="1" applyProtection="1">
      <alignment vertical="center"/>
      <protection locked="0"/>
    </xf>
    <xf numFmtId="164" fontId="13" fillId="24" borderId="12" xfId="61" applyNumberFormat="1" applyFont="1" applyFill="1" applyBorder="1" applyAlignment="1" applyProtection="1">
      <alignment vertical="center"/>
      <protection locked="0"/>
    </xf>
    <xf numFmtId="164" fontId="13" fillId="24" borderId="17" xfId="61" applyNumberFormat="1" applyFont="1" applyFill="1" applyBorder="1" applyAlignment="1" applyProtection="1">
      <protection locked="0"/>
    </xf>
    <xf numFmtId="164" fontId="13" fillId="24" borderId="12" xfId="61" applyNumberFormat="1" applyFont="1" applyFill="1" applyBorder="1" applyAlignment="1" applyProtection="1">
      <protection locked="0"/>
    </xf>
    <xf numFmtId="164" fontId="13" fillId="24" borderId="23" xfId="61" applyNumberFormat="1" applyFont="1" applyFill="1" applyBorder="1" applyAlignment="1" applyProtection="1">
      <alignment vertical="center"/>
      <protection locked="0"/>
    </xf>
    <xf numFmtId="164" fontId="13" fillId="24" borderId="27" xfId="61" applyNumberFormat="1" applyFont="1" applyFill="1" applyBorder="1" applyAlignment="1" applyProtection="1">
      <alignment vertical="center"/>
      <protection locked="0"/>
    </xf>
    <xf numFmtId="0" fontId="27" fillId="0" borderId="0" xfId="0" applyFont="1" applyFill="1"/>
    <xf numFmtId="0" fontId="13" fillId="0" borderId="0" xfId="0" applyFont="1" applyFill="1"/>
    <xf numFmtId="0" fontId="0" fillId="0" borderId="0" xfId="0" applyFill="1" applyProtection="1">
      <protection locked="0"/>
    </xf>
    <xf numFmtId="164" fontId="13" fillId="0" borderId="0" xfId="61" applyNumberFormat="1" applyFont="1" applyFill="1" applyBorder="1" applyAlignment="1" applyProtection="1">
      <alignment horizontal="left" vertical="center"/>
      <protection hidden="1"/>
    </xf>
    <xf numFmtId="0" fontId="27" fillId="0" borderId="0" xfId="0" applyNumberFormat="1" applyFont="1" applyFill="1" applyBorder="1" applyAlignment="1" applyProtection="1">
      <alignment horizontal="right" indent="1"/>
    </xf>
    <xf numFmtId="0" fontId="13" fillId="0" borderId="10" xfId="61" applyNumberFormat="1" applyFont="1" applyBorder="1" applyAlignment="1" applyProtection="1">
      <alignment horizontal="center" vertical="center"/>
    </xf>
    <xf numFmtId="0" fontId="13" fillId="0" borderId="24" xfId="61" applyNumberFormat="1" applyFont="1" applyBorder="1" applyAlignment="1" applyProtection="1">
      <alignment horizontal="center" vertical="center"/>
    </xf>
    <xf numFmtId="0" fontId="13" fillId="0" borderId="31" xfId="61" applyNumberFormat="1" applyFont="1" applyBorder="1" applyAlignment="1" applyProtection="1">
      <alignment horizontal="center" vertical="center"/>
    </xf>
    <xf numFmtId="0" fontId="13" fillId="0" borderId="10" xfId="61" applyNumberFormat="1" applyFont="1" applyFill="1" applyBorder="1" applyAlignment="1" applyProtection="1">
      <alignment horizontal="center" vertical="center"/>
    </xf>
    <xf numFmtId="167" fontId="13" fillId="25" borderId="17" xfId="61" applyNumberFormat="1" applyFont="1" applyFill="1" applyBorder="1" applyAlignment="1">
      <alignment horizontal="center" vertical="center"/>
    </xf>
    <xf numFmtId="2" fontId="45" fillId="25" borderId="19" xfId="61" applyNumberFormat="1" applyFont="1" applyFill="1" applyBorder="1" applyAlignment="1">
      <alignment horizontal="center" vertical="center"/>
    </xf>
    <xf numFmtId="168" fontId="27" fillId="0" borderId="17" xfId="61" applyFont="1" applyBorder="1" applyAlignment="1">
      <alignment horizontal="center"/>
    </xf>
    <xf numFmtId="2" fontId="27" fillId="25" borderId="19" xfId="61" applyNumberFormat="1" applyFont="1" applyFill="1" applyBorder="1" applyAlignment="1">
      <alignment horizontal="center" vertical="center"/>
    </xf>
    <xf numFmtId="2" fontId="13" fillId="0" borderId="17" xfId="61" applyNumberFormat="1" applyFont="1" applyBorder="1" applyAlignment="1">
      <alignment horizontal="center"/>
    </xf>
    <xf numFmtId="2" fontId="13" fillId="0" borderId="19" xfId="61" applyNumberFormat="1" applyFont="1" applyBorder="1" applyAlignment="1">
      <alignment horizontal="center"/>
    </xf>
    <xf numFmtId="2" fontId="13" fillId="0" borderId="21" xfId="61" applyNumberFormat="1" applyFont="1" applyBorder="1" applyAlignment="1">
      <alignment horizontal="center"/>
    </xf>
    <xf numFmtId="2" fontId="13" fillId="0" borderId="23" xfId="61" applyNumberFormat="1" applyFont="1" applyBorder="1" applyAlignment="1">
      <alignment horizontal="center"/>
    </xf>
    <xf numFmtId="168" fontId="13" fillId="24" borderId="21" xfId="61" applyFont="1" applyFill="1" applyBorder="1" applyAlignment="1">
      <alignment vertical="center"/>
    </xf>
    <xf numFmtId="167" fontId="13" fillId="26" borderId="21" xfId="61" applyNumberFormat="1" applyFont="1" applyFill="1" applyBorder="1" applyAlignment="1">
      <alignment horizontal="center" vertical="center"/>
    </xf>
    <xf numFmtId="167" fontId="13" fillId="25" borderId="21" xfId="61" applyNumberFormat="1" applyFont="1" applyFill="1" applyBorder="1" applyAlignment="1">
      <alignment horizontal="center" vertical="center"/>
    </xf>
    <xf numFmtId="168" fontId="45" fillId="24" borderId="0" xfId="61" applyFont="1" applyFill="1" applyAlignment="1">
      <alignment horizontal="centerContinuous" vertical="center"/>
    </xf>
    <xf numFmtId="0" fontId="0" fillId="0" borderId="0" xfId="0" applyProtection="1"/>
    <xf numFmtId="0" fontId="25" fillId="0" borderId="0" xfId="0" applyFont="1" applyAlignment="1" applyProtection="1">
      <alignment horizontal="left"/>
    </xf>
    <xf numFmtId="0" fontId="54" fillId="0" borderId="0" xfId="0" applyFont="1" applyProtection="1"/>
    <xf numFmtId="0" fontId="28" fillId="0" borderId="0" xfId="0" applyFont="1" applyProtection="1"/>
    <xf numFmtId="0" fontId="32" fillId="0" borderId="0" xfId="0" applyFont="1" applyProtection="1"/>
    <xf numFmtId="173" fontId="13" fillId="24" borderId="30" xfId="0" applyNumberFormat="1" applyFont="1" applyFill="1" applyBorder="1" applyAlignment="1" applyProtection="1">
      <alignment horizontal="left"/>
      <protection locked="0"/>
    </xf>
    <xf numFmtId="168" fontId="36" fillId="25" borderId="0" xfId="61" applyFont="1" applyFill="1" applyBorder="1" applyAlignment="1" applyProtection="1">
      <alignment vertical="center"/>
    </xf>
    <xf numFmtId="0" fontId="55" fillId="0" borderId="0" xfId="0" applyFont="1" applyProtection="1"/>
    <xf numFmtId="168" fontId="13" fillId="0" borderId="0" xfId="61" applyFont="1" applyAlignment="1" applyProtection="1">
      <alignment horizontal="left"/>
    </xf>
    <xf numFmtId="168" fontId="13" fillId="0" borderId="0" xfId="61" applyFont="1" applyAlignment="1" applyProtection="1"/>
    <xf numFmtId="1" fontId="55" fillId="0" borderId="0" xfId="61" applyNumberFormat="1" applyFont="1" applyFill="1" applyBorder="1" applyAlignment="1" applyProtection="1">
      <alignment horizontal="center" vertical="center"/>
    </xf>
    <xf numFmtId="1" fontId="55" fillId="0" borderId="0" xfId="61" applyNumberFormat="1" applyFont="1" applyFill="1" applyBorder="1" applyAlignment="1" applyProtection="1">
      <alignment horizontal="right" vertical="center"/>
    </xf>
    <xf numFmtId="1" fontId="13" fillId="0" borderId="0" xfId="61" applyNumberFormat="1" applyFont="1" applyFill="1" applyBorder="1" applyAlignment="1" applyProtection="1">
      <alignment horizontal="right" vertical="center"/>
    </xf>
    <xf numFmtId="1" fontId="13" fillId="0" borderId="0" xfId="61" applyNumberFormat="1" applyFont="1" applyFill="1" applyBorder="1" applyAlignment="1" applyProtection="1">
      <alignment vertical="center"/>
    </xf>
    <xf numFmtId="1" fontId="55" fillId="0" borderId="0" xfId="61" applyNumberFormat="1" applyFont="1" applyFill="1" applyBorder="1" applyAlignment="1" applyProtection="1">
      <alignment vertical="center"/>
    </xf>
    <xf numFmtId="1" fontId="13" fillId="0" borderId="0" xfId="61" applyNumberFormat="1" applyFont="1" applyFill="1" applyBorder="1" applyAlignment="1" applyProtection="1">
      <alignment horizontal="center" vertical="center"/>
    </xf>
    <xf numFmtId="1" fontId="49" fillId="0" borderId="0" xfId="61" applyNumberFormat="1" applyFont="1" applyFill="1" applyBorder="1" applyAlignment="1" applyProtection="1">
      <alignment horizontal="center" vertical="center"/>
    </xf>
    <xf numFmtId="168" fontId="55" fillId="0" borderId="0" xfId="61" applyFont="1"/>
    <xf numFmtId="168" fontId="55" fillId="0" borderId="0" xfId="61" applyFont="1" applyAlignment="1">
      <alignment horizontal="left"/>
    </xf>
    <xf numFmtId="0" fontId="27" fillId="0" borderId="0" xfId="0" applyFont="1" applyProtection="1"/>
    <xf numFmtId="0" fontId="0" fillId="0" borderId="0" xfId="0" applyFill="1" applyBorder="1"/>
    <xf numFmtId="0" fontId="52" fillId="0" borderId="0" xfId="0" applyFont="1" applyAlignment="1" applyProtection="1">
      <alignment horizontal="left"/>
    </xf>
    <xf numFmtId="0" fontId="57" fillId="0" borderId="0" xfId="0" applyFont="1" applyProtection="1"/>
    <xf numFmtId="172" fontId="13" fillId="27" borderId="3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Border="1" applyAlignment="1" applyProtection="1">
      <alignment horizontal="right"/>
    </xf>
    <xf numFmtId="168" fontId="13" fillId="0" borderId="0" xfId="61" applyFont="1" applyAlignment="1" applyProtection="1">
      <alignment vertical="center"/>
    </xf>
    <xf numFmtId="1" fontId="13" fillId="0" borderId="0" xfId="61" applyNumberFormat="1" applyFont="1" applyAlignment="1" applyProtection="1">
      <alignment vertical="center"/>
    </xf>
    <xf numFmtId="168" fontId="13" fillId="0" borderId="0" xfId="61" applyNumberFormat="1" applyFont="1" applyAlignment="1" applyProtection="1">
      <alignment vertical="center"/>
    </xf>
    <xf numFmtId="168" fontId="35" fillId="0" borderId="0" xfId="61" applyFont="1" applyAlignment="1" applyProtection="1">
      <alignment vertical="center"/>
    </xf>
    <xf numFmtId="168" fontId="48" fillId="0" borderId="0" xfId="61" applyFont="1" applyAlignment="1" applyProtection="1">
      <alignment vertical="center"/>
    </xf>
    <xf numFmtId="164" fontId="25" fillId="0" borderId="0" xfId="61" applyNumberFormat="1" applyFont="1" applyBorder="1" applyAlignment="1" applyProtection="1">
      <alignment vertical="center"/>
    </xf>
    <xf numFmtId="168" fontId="13" fillId="0" borderId="0" xfId="61" applyFont="1" applyBorder="1" applyAlignment="1" applyProtection="1">
      <alignment vertical="center"/>
    </xf>
    <xf numFmtId="1" fontId="28" fillId="0" borderId="0" xfId="61" applyNumberFormat="1" applyFont="1" applyBorder="1" applyAlignment="1" applyProtection="1">
      <alignment horizontal="right" vertical="center"/>
    </xf>
    <xf numFmtId="168" fontId="36" fillId="25" borderId="0" xfId="61" applyFont="1" applyFill="1" applyAlignment="1" applyProtection="1">
      <alignment vertical="center"/>
    </xf>
    <xf numFmtId="168" fontId="13" fillId="0" borderId="0" xfId="61" applyFont="1" applyProtection="1"/>
    <xf numFmtId="1" fontId="33" fillId="0" borderId="0" xfId="61" applyNumberFormat="1" applyFont="1" applyBorder="1" applyAlignment="1" applyProtection="1"/>
    <xf numFmtId="168" fontId="35" fillId="0" borderId="0" xfId="61" applyFont="1" applyBorder="1" applyAlignment="1" applyProtection="1">
      <alignment vertical="center"/>
    </xf>
    <xf numFmtId="164" fontId="25" fillId="0" borderId="14" xfId="61" applyNumberFormat="1" applyFont="1" applyBorder="1" applyAlignment="1" applyProtection="1">
      <alignment vertical="center"/>
    </xf>
    <xf numFmtId="168" fontId="13" fillId="0" borderId="14" xfId="61" applyFont="1" applyBorder="1" applyAlignment="1" applyProtection="1">
      <alignment vertical="center"/>
    </xf>
    <xf numFmtId="168" fontId="25" fillId="0" borderId="14" xfId="61" applyFont="1" applyBorder="1" applyAlignment="1" applyProtection="1">
      <alignment vertical="center"/>
    </xf>
    <xf numFmtId="168" fontId="30" fillId="0" borderId="14" xfId="61" applyFont="1" applyBorder="1" applyAlignment="1" applyProtection="1">
      <alignment vertical="center"/>
    </xf>
    <xf numFmtId="168" fontId="35" fillId="0" borderId="0" xfId="61" applyFont="1" applyBorder="1" applyAlignment="1" applyProtection="1">
      <alignment horizontal="centerContinuous" vertical="center"/>
    </xf>
    <xf numFmtId="168" fontId="25" fillId="0" borderId="0" xfId="61" applyFont="1" applyBorder="1" applyAlignment="1" applyProtection="1">
      <alignment vertical="center"/>
    </xf>
    <xf numFmtId="168" fontId="30" fillId="0" borderId="0" xfId="61" applyFont="1" applyBorder="1" applyAlignment="1" applyProtection="1">
      <alignment vertical="center"/>
    </xf>
    <xf numFmtId="1" fontId="28" fillId="0" borderId="0" xfId="61" applyNumberFormat="1" applyFont="1" applyBorder="1" applyAlignment="1" applyProtection="1">
      <alignment horizontal="centerContinuous" vertical="center"/>
    </xf>
    <xf numFmtId="168" fontId="13" fillId="0" borderId="0" xfId="61" applyFont="1" applyAlignment="1" applyProtection="1">
      <alignment horizontal="right" vertical="center" indent="1"/>
    </xf>
    <xf numFmtId="0" fontId="55" fillId="25" borderId="0" xfId="61" applyNumberFormat="1" applyFont="1" applyFill="1" applyAlignment="1" applyProtection="1">
      <alignment vertical="center"/>
    </xf>
    <xf numFmtId="168" fontId="55" fillId="25" borderId="0" xfId="61" applyFont="1" applyFill="1" applyAlignment="1" applyProtection="1">
      <alignment vertical="center"/>
    </xf>
    <xf numFmtId="168" fontId="35" fillId="0" borderId="0" xfId="61" applyFont="1" applyAlignment="1" applyProtection="1">
      <alignment horizontal="right" vertical="center"/>
    </xf>
    <xf numFmtId="168" fontId="13" fillId="0" borderId="0" xfId="61" applyFont="1" applyAlignment="1" applyProtection="1">
      <alignment horizontal="left" vertical="center"/>
    </xf>
    <xf numFmtId="1" fontId="55" fillId="0" borderId="0" xfId="61" applyNumberFormat="1" applyFont="1" applyAlignment="1" applyProtection="1">
      <alignment horizontal="center" vertical="center"/>
    </xf>
    <xf numFmtId="168" fontId="32" fillId="0" borderId="0" xfId="61" applyFont="1" applyAlignment="1" applyProtection="1">
      <alignment vertical="center"/>
    </xf>
    <xf numFmtId="0" fontId="51" fillId="0" borderId="0" xfId="0" applyFont="1" applyProtection="1"/>
    <xf numFmtId="164" fontId="28" fillId="0" borderId="0" xfId="61" applyNumberFormat="1" applyFont="1" applyAlignment="1" applyProtection="1">
      <alignment horizontal="left" vertical="center"/>
    </xf>
    <xf numFmtId="168" fontId="28" fillId="0" borderId="0" xfId="61" applyFont="1" applyAlignment="1" applyProtection="1">
      <alignment vertical="center"/>
    </xf>
    <xf numFmtId="168" fontId="24" fillId="0" borderId="0" xfId="61" applyFont="1" applyAlignment="1" applyProtection="1">
      <alignment vertical="center"/>
    </xf>
    <xf numFmtId="168" fontId="36" fillId="0" borderId="0" xfId="61" applyFont="1" applyBorder="1" applyAlignment="1" applyProtection="1">
      <alignment vertical="center"/>
    </xf>
    <xf numFmtId="168" fontId="55" fillId="0" borderId="0" xfId="61" applyFont="1" applyAlignment="1" applyProtection="1">
      <alignment vertical="center"/>
    </xf>
    <xf numFmtId="1" fontId="55" fillId="0" borderId="0" xfId="61" applyNumberFormat="1" applyFont="1" applyAlignment="1" applyProtection="1">
      <alignment vertical="center"/>
    </xf>
    <xf numFmtId="1" fontId="36" fillId="0" borderId="0" xfId="61" applyNumberFormat="1" applyFont="1" applyAlignment="1" applyProtection="1">
      <alignment vertical="center"/>
    </xf>
    <xf numFmtId="168" fontId="36" fillId="0" borderId="0" xfId="61" applyNumberFormat="1" applyFont="1" applyAlignment="1" applyProtection="1">
      <alignment vertical="center"/>
    </xf>
    <xf numFmtId="1" fontId="35" fillId="0" borderId="0" xfId="61" applyNumberFormat="1" applyFont="1" applyAlignment="1" applyProtection="1">
      <alignment vertical="center"/>
    </xf>
    <xf numFmtId="168" fontId="27" fillId="0" borderId="0" xfId="61" applyFont="1" applyAlignment="1" applyProtection="1">
      <alignment vertical="center"/>
    </xf>
    <xf numFmtId="168" fontId="36" fillId="0" borderId="0" xfId="61" applyFont="1" applyAlignment="1" applyProtection="1">
      <alignment vertical="center"/>
    </xf>
    <xf numFmtId="168" fontId="36" fillId="0" borderId="0" xfId="61" applyFont="1" applyProtection="1"/>
    <xf numFmtId="1" fontId="13" fillId="0" borderId="0" xfId="61" applyNumberFormat="1" applyFont="1" applyBorder="1" applyAlignment="1" applyProtection="1">
      <alignment horizontal="right" vertical="center"/>
    </xf>
    <xf numFmtId="168" fontId="36" fillId="0" borderId="0" xfId="61" applyFont="1" applyAlignment="1" applyProtection="1">
      <alignment horizontal="right" vertical="center"/>
    </xf>
    <xf numFmtId="168" fontId="36" fillId="0" borderId="0" xfId="61" applyFont="1" applyAlignment="1" applyProtection="1">
      <alignment horizontal="center" vertical="center"/>
    </xf>
    <xf numFmtId="1" fontId="13" fillId="0" borderId="0" xfId="61" applyNumberFormat="1" applyFont="1" applyBorder="1" applyAlignment="1" applyProtection="1">
      <alignment vertical="center"/>
    </xf>
    <xf numFmtId="1" fontId="36" fillId="0" borderId="0" xfId="61" applyNumberFormat="1" applyFont="1" applyAlignment="1" applyProtection="1">
      <alignment horizontal="right" vertical="center"/>
    </xf>
    <xf numFmtId="168" fontId="36" fillId="0" borderId="0" xfId="61" applyFont="1" applyBorder="1" applyAlignment="1" applyProtection="1">
      <alignment horizontal="center" vertical="center"/>
    </xf>
    <xf numFmtId="168" fontId="13" fillId="0" borderId="0" xfId="61" applyFont="1" applyFill="1" applyBorder="1" applyAlignment="1" applyProtection="1">
      <alignment vertical="center"/>
    </xf>
    <xf numFmtId="164" fontId="27" fillId="0" borderId="15" xfId="61" applyNumberFormat="1" applyFont="1" applyBorder="1" applyAlignment="1" applyProtection="1">
      <alignment horizontal="left" vertical="center"/>
    </xf>
    <xf numFmtId="168" fontId="13" fillId="0" borderId="15" xfId="61" applyFont="1" applyBorder="1" applyAlignment="1" applyProtection="1">
      <alignment vertical="center"/>
    </xf>
    <xf numFmtId="168" fontId="56" fillId="0" borderId="0" xfId="61" applyFont="1" applyFill="1" applyBorder="1" applyAlignment="1" applyProtection="1">
      <alignment vertical="center"/>
    </xf>
    <xf numFmtId="168" fontId="55" fillId="0" borderId="0" xfId="61" applyFont="1" applyFill="1" applyBorder="1" applyAlignment="1" applyProtection="1">
      <alignment vertical="center"/>
    </xf>
    <xf numFmtId="1" fontId="55" fillId="25" borderId="0" xfId="61" applyNumberFormat="1" applyFont="1" applyFill="1" applyBorder="1" applyAlignment="1" applyProtection="1">
      <alignment horizontal="right" vertical="center"/>
    </xf>
    <xf numFmtId="1" fontId="55" fillId="25" borderId="0" xfId="61" applyNumberFormat="1" applyFont="1" applyFill="1" applyBorder="1" applyAlignment="1" applyProtection="1">
      <alignment vertical="center"/>
    </xf>
    <xf numFmtId="168" fontId="55" fillId="0" borderId="0" xfId="61" applyFont="1" applyFill="1" applyBorder="1" applyAlignment="1" applyProtection="1">
      <alignment horizontal="center"/>
    </xf>
    <xf numFmtId="168" fontId="13" fillId="0" borderId="0" xfId="61" applyFont="1" applyFill="1" applyBorder="1" applyAlignment="1" applyProtection="1">
      <alignment horizontal="center"/>
    </xf>
    <xf numFmtId="1" fontId="13" fillId="0" borderId="0" xfId="61" applyNumberFormat="1" applyFont="1" applyFill="1" applyBorder="1" applyAlignment="1" applyProtection="1">
      <alignment horizontal="center"/>
    </xf>
    <xf numFmtId="168" fontId="13" fillId="0" borderId="16" xfId="61" applyFont="1" applyFill="1" applyBorder="1" applyAlignment="1" applyProtection="1">
      <alignment vertical="center"/>
    </xf>
    <xf numFmtId="168" fontId="27" fillId="0" borderId="18" xfId="61" applyFont="1" applyBorder="1" applyAlignment="1" applyProtection="1">
      <alignment vertical="center"/>
    </xf>
    <xf numFmtId="168" fontId="27" fillId="0" borderId="32" xfId="61" applyFont="1" applyBorder="1" applyAlignment="1" applyProtection="1">
      <alignment vertical="center"/>
    </xf>
    <xf numFmtId="168" fontId="27" fillId="0" borderId="33" xfId="61" applyFont="1" applyBorder="1" applyAlignment="1" applyProtection="1">
      <alignment vertical="center"/>
    </xf>
    <xf numFmtId="168" fontId="27" fillId="0" borderId="0" xfId="61" applyFont="1" applyBorder="1" applyAlignment="1" applyProtection="1">
      <alignment vertical="center"/>
    </xf>
    <xf numFmtId="164" fontId="27" fillId="0" borderId="17" xfId="61" applyNumberFormat="1" applyFont="1" applyBorder="1" applyAlignment="1" applyProtection="1">
      <alignment horizontal="left" vertical="center"/>
    </xf>
    <xf numFmtId="164" fontId="27" fillId="0" borderId="18" xfId="61" applyNumberFormat="1" applyFont="1" applyBorder="1" applyAlignment="1" applyProtection="1">
      <alignment horizontal="centerContinuous" vertical="center"/>
    </xf>
    <xf numFmtId="168" fontId="31" fillId="0" borderId="33" xfId="61" applyFont="1" applyBorder="1" applyAlignment="1" applyProtection="1">
      <alignment horizontal="centerContinuous" vertical="center"/>
    </xf>
    <xf numFmtId="168" fontId="13" fillId="0" borderId="33" xfId="61" applyFont="1" applyBorder="1" applyAlignment="1" applyProtection="1">
      <alignment horizontal="centerContinuous" vertical="center"/>
    </xf>
    <xf numFmtId="168" fontId="37" fillId="0" borderId="0" xfId="61" applyFont="1" applyProtection="1"/>
    <xf numFmtId="168" fontId="13" fillId="0" borderId="0" xfId="61" applyFont="1" applyAlignment="1" applyProtection="1">
      <alignment horizontal="center"/>
    </xf>
    <xf numFmtId="164" fontId="27" fillId="0" borderId="16" xfId="61" applyNumberFormat="1" applyFont="1" applyFill="1" applyBorder="1" applyAlignment="1" applyProtection="1">
      <alignment horizontal="left" vertical="center"/>
    </xf>
    <xf numFmtId="168" fontId="13" fillId="0" borderId="20" xfId="61" applyFont="1" applyBorder="1" applyAlignment="1" applyProtection="1">
      <alignment vertical="center"/>
    </xf>
    <xf numFmtId="164" fontId="27" fillId="0" borderId="0" xfId="61" applyNumberFormat="1" applyFont="1" applyBorder="1" applyAlignment="1" applyProtection="1">
      <alignment horizontal="left" vertical="center"/>
    </xf>
    <xf numFmtId="168" fontId="27" fillId="0" borderId="16" xfId="61" applyFont="1" applyBorder="1" applyAlignment="1" applyProtection="1">
      <alignment vertical="center"/>
    </xf>
    <xf numFmtId="168" fontId="27" fillId="0" borderId="20" xfId="61" applyFont="1" applyBorder="1" applyAlignment="1" applyProtection="1">
      <alignment horizontal="centerContinuous" vertical="center"/>
    </xf>
    <xf numFmtId="164" fontId="27" fillId="0" borderId="19" xfId="61" applyNumberFormat="1" applyFont="1" applyBorder="1" applyAlignment="1" applyProtection="1">
      <alignment horizontal="centerContinuous" vertical="center"/>
    </xf>
    <xf numFmtId="164" fontId="27" fillId="0" borderId="19" xfId="61" applyNumberFormat="1" applyFont="1" applyBorder="1" applyAlignment="1" applyProtection="1">
      <alignment horizontal="center" vertical="center"/>
    </xf>
    <xf numFmtId="164" fontId="37" fillId="0" borderId="22" xfId="61" applyNumberFormat="1" applyFont="1" applyBorder="1" applyAlignment="1" applyProtection="1">
      <alignment horizontal="centerContinuous" vertical="center"/>
    </xf>
    <xf numFmtId="168" fontId="44" fillId="0" borderId="34" xfId="61" applyFont="1" applyBorder="1" applyAlignment="1" applyProtection="1">
      <alignment horizontal="centerContinuous" vertical="center"/>
    </xf>
    <xf numFmtId="164" fontId="27" fillId="0" borderId="22" xfId="61" applyNumberFormat="1" applyFont="1" applyBorder="1" applyAlignment="1" applyProtection="1">
      <alignment horizontal="centerContinuous" vertical="center"/>
    </xf>
    <xf numFmtId="168" fontId="13" fillId="0" borderId="34" xfId="61" applyFont="1" applyBorder="1" applyAlignment="1" applyProtection="1">
      <alignment horizontal="centerContinuous" vertical="center"/>
    </xf>
    <xf numFmtId="168" fontId="13" fillId="0" borderId="22" xfId="61" applyFont="1" applyBorder="1" applyAlignment="1" applyProtection="1">
      <alignment vertical="center"/>
    </xf>
    <xf numFmtId="168" fontId="13" fillId="0" borderId="34" xfId="61" applyFont="1" applyBorder="1" applyAlignment="1" applyProtection="1">
      <alignment vertical="center"/>
    </xf>
    <xf numFmtId="168" fontId="13" fillId="0" borderId="0" xfId="61" applyFont="1" applyFill="1" applyBorder="1" applyAlignment="1" applyProtection="1">
      <alignment horizontal="center" vertical="center"/>
    </xf>
    <xf numFmtId="168" fontId="27" fillId="0" borderId="0" xfId="61" applyFont="1" applyFill="1" applyBorder="1" applyAlignment="1" applyProtection="1">
      <alignment vertical="center"/>
    </xf>
    <xf numFmtId="168" fontId="36" fillId="0" borderId="0" xfId="61" applyFont="1" applyAlignment="1" applyProtection="1">
      <alignment horizontal="left"/>
    </xf>
    <xf numFmtId="168" fontId="27" fillId="0" borderId="20" xfId="61" applyFont="1" applyBorder="1" applyAlignment="1" applyProtection="1">
      <alignment vertical="center"/>
    </xf>
    <xf numFmtId="164" fontId="27" fillId="0" borderId="16" xfId="61" applyNumberFormat="1" applyFont="1" applyBorder="1" applyAlignment="1" applyProtection="1">
      <alignment horizontal="centerContinuous" vertical="center"/>
    </xf>
    <xf numFmtId="164" fontId="27" fillId="0" borderId="17" xfId="61" applyNumberFormat="1" applyFont="1" applyBorder="1" applyAlignment="1" applyProtection="1">
      <alignment horizontal="center" vertical="center"/>
    </xf>
    <xf numFmtId="164" fontId="27" fillId="0" borderId="0" xfId="61" applyNumberFormat="1" applyFont="1" applyFill="1" applyBorder="1" applyAlignment="1" applyProtection="1">
      <alignment horizontal="center" vertical="center"/>
    </xf>
    <xf numFmtId="168" fontId="55" fillId="0" borderId="0" xfId="61" applyFont="1" applyFill="1" applyBorder="1" applyAlignment="1" applyProtection="1">
      <alignment horizontal="center" vertical="center"/>
    </xf>
    <xf numFmtId="1" fontId="27" fillId="0" borderId="0" xfId="61" applyNumberFormat="1" applyFont="1" applyFill="1" applyBorder="1" applyAlignment="1" applyProtection="1">
      <alignment horizontal="center" vertical="center"/>
    </xf>
    <xf numFmtId="168" fontId="27" fillId="0" borderId="22" xfId="61" applyFont="1" applyBorder="1" applyAlignment="1" applyProtection="1">
      <alignment vertical="center"/>
    </xf>
    <xf numFmtId="168" fontId="27" fillId="0" borderId="15" xfId="61" applyFont="1" applyBorder="1" applyAlignment="1" applyProtection="1">
      <alignment vertical="center"/>
    </xf>
    <xf numFmtId="168" fontId="27" fillId="0" borderId="34" xfId="61" applyFont="1" applyBorder="1" applyAlignment="1" applyProtection="1">
      <alignment vertical="center"/>
    </xf>
    <xf numFmtId="168" fontId="27" fillId="0" borderId="21" xfId="61" applyFont="1" applyBorder="1" applyAlignment="1" applyProtection="1">
      <alignment horizontal="center" vertical="center"/>
    </xf>
    <xf numFmtId="164" fontId="27" fillId="0" borderId="21" xfId="61" applyNumberFormat="1" applyFont="1" applyBorder="1" applyAlignment="1" applyProtection="1">
      <alignment horizontal="center" vertical="center"/>
    </xf>
    <xf numFmtId="1" fontId="56" fillId="0" borderId="0" xfId="61" applyNumberFormat="1" applyFont="1" applyFill="1" applyBorder="1" applyAlignment="1" applyProtection="1">
      <alignment vertical="center"/>
    </xf>
    <xf numFmtId="1" fontId="56" fillId="0" borderId="0" xfId="61" applyNumberFormat="1" applyFont="1" applyFill="1" applyBorder="1" applyAlignment="1" applyProtection="1">
      <alignment horizontal="center" vertical="center"/>
    </xf>
    <xf numFmtId="168" fontId="27" fillId="0" borderId="0" xfId="61" applyNumberFormat="1" applyFont="1" applyFill="1" applyBorder="1" applyAlignment="1" applyProtection="1">
      <alignment horizontal="right" vertical="center"/>
    </xf>
    <xf numFmtId="168" fontId="27" fillId="0" borderId="35" xfId="61" applyFont="1" applyBorder="1" applyAlignment="1" applyProtection="1">
      <alignment vertical="center"/>
    </xf>
    <xf numFmtId="168" fontId="27" fillId="0" borderId="29" xfId="61" applyFont="1" applyBorder="1" applyAlignment="1" applyProtection="1">
      <alignment vertical="center"/>
    </xf>
    <xf numFmtId="168" fontId="27" fillId="0" borderId="29" xfId="61" applyFont="1" applyBorder="1" applyAlignment="1" applyProtection="1">
      <alignment horizontal="center" vertical="center"/>
    </xf>
    <xf numFmtId="164" fontId="27" fillId="0" borderId="29" xfId="61" applyNumberFormat="1" applyFont="1" applyBorder="1" applyAlignment="1" applyProtection="1">
      <alignment horizontal="center" vertical="center"/>
    </xf>
    <xf numFmtId="164" fontId="13" fillId="0" borderId="16" xfId="61" applyNumberFormat="1" applyFont="1" applyFill="1" applyBorder="1" applyAlignment="1" applyProtection="1">
      <alignment horizontal="left" vertical="center"/>
    </xf>
    <xf numFmtId="168" fontId="13" fillId="0" borderId="36" xfId="61" applyFont="1" applyBorder="1" applyAlignment="1" applyProtection="1">
      <alignment vertical="center"/>
    </xf>
    <xf numFmtId="164" fontId="13" fillId="0" borderId="30" xfId="61" applyNumberFormat="1" applyFont="1" applyBorder="1" applyAlignment="1" applyProtection="1">
      <alignment horizontal="left" vertical="center"/>
    </xf>
    <xf numFmtId="3" fontId="13" fillId="24" borderId="37" xfId="61" applyNumberFormat="1" applyFont="1" applyFill="1" applyBorder="1" applyAlignment="1" applyProtection="1">
      <alignment vertical="center"/>
      <protection locked="0"/>
    </xf>
    <xf numFmtId="170" fontId="55" fillId="0" borderId="0" xfId="61" applyNumberFormat="1" applyFont="1" applyFill="1" applyBorder="1" applyAlignment="1" applyProtection="1">
      <alignment vertical="center"/>
    </xf>
    <xf numFmtId="165" fontId="13" fillId="0" borderId="0" xfId="61" applyNumberFormat="1" applyFont="1" applyFill="1" applyBorder="1" applyAlignment="1" applyProtection="1">
      <alignment horizontal="right" vertical="center"/>
    </xf>
    <xf numFmtId="168" fontId="13" fillId="0" borderId="38" xfId="61" applyFont="1" applyFill="1" applyBorder="1" applyAlignment="1" applyProtection="1">
      <alignment vertical="center"/>
    </xf>
    <xf numFmtId="168" fontId="13" fillId="0" borderId="39" xfId="61" applyFont="1" applyFill="1" applyBorder="1" applyAlignment="1" applyProtection="1">
      <alignment vertical="center"/>
    </xf>
    <xf numFmtId="3" fontId="13" fillId="24" borderId="39" xfId="61" applyNumberFormat="1" applyFont="1" applyFill="1" applyBorder="1" applyAlignment="1" applyProtection="1">
      <alignment vertical="center"/>
      <protection locked="0"/>
    </xf>
    <xf numFmtId="164" fontId="13" fillId="0" borderId="38" xfId="61" applyNumberFormat="1" applyFont="1" applyFill="1" applyBorder="1" applyAlignment="1" applyProtection="1">
      <alignment vertical="center"/>
    </xf>
    <xf numFmtId="168" fontId="55" fillId="0" borderId="0" xfId="61" applyNumberFormat="1" applyFont="1" applyFill="1" applyBorder="1" applyAlignment="1" applyProtection="1">
      <alignment vertical="center"/>
    </xf>
    <xf numFmtId="168" fontId="55" fillId="0" borderId="0" xfId="61" applyFont="1" applyBorder="1" applyAlignment="1" applyProtection="1">
      <alignment vertical="center"/>
    </xf>
    <xf numFmtId="168" fontId="55" fillId="0" borderId="0" xfId="61" applyFont="1" applyFill="1" applyAlignment="1" applyProtection="1">
      <alignment vertical="center"/>
    </xf>
    <xf numFmtId="0" fontId="13" fillId="0" borderId="16" xfId="61" applyNumberFormat="1" applyFont="1" applyFill="1" applyBorder="1" applyAlignment="1" applyProtection="1">
      <alignment vertical="center"/>
    </xf>
    <xf numFmtId="164" fontId="27" fillId="0" borderId="35" xfId="61" applyNumberFormat="1" applyFont="1" applyFill="1" applyBorder="1" applyAlignment="1" applyProtection="1">
      <alignment vertical="center"/>
    </xf>
    <xf numFmtId="0" fontId="27" fillId="0" borderId="29" xfId="61" applyNumberFormat="1" applyFont="1" applyFill="1" applyBorder="1" applyAlignment="1" applyProtection="1">
      <alignment vertical="center"/>
    </xf>
    <xf numFmtId="168" fontId="27" fillId="0" borderId="29" xfId="61" applyNumberFormat="1" applyFont="1" applyFill="1" applyBorder="1" applyAlignment="1" applyProtection="1">
      <alignment horizontal="center" vertical="center"/>
    </xf>
    <xf numFmtId="170" fontId="27" fillId="0" borderId="29" xfId="61" applyNumberFormat="1" applyFont="1" applyFill="1" applyBorder="1" applyAlignment="1" applyProtection="1">
      <alignment vertical="center"/>
    </xf>
    <xf numFmtId="170" fontId="13" fillId="0" borderId="0" xfId="61" applyNumberFormat="1" applyFont="1" applyFill="1" applyBorder="1" applyAlignment="1" applyProtection="1">
      <alignment vertical="center"/>
    </xf>
    <xf numFmtId="0" fontId="13" fillId="0" borderId="40" xfId="61" applyNumberFormat="1" applyFont="1" applyFill="1" applyBorder="1" applyAlignment="1" applyProtection="1">
      <alignment vertical="center"/>
    </xf>
    <xf numFmtId="0" fontId="13" fillId="0" borderId="41" xfId="61" applyNumberFormat="1" applyFont="1" applyFill="1" applyBorder="1" applyAlignment="1" applyProtection="1">
      <alignment vertical="center"/>
    </xf>
    <xf numFmtId="168" fontId="13" fillId="28" borderId="17" xfId="61" applyFont="1" applyFill="1" applyBorder="1" applyAlignment="1" applyProtection="1">
      <alignment vertical="center"/>
    </xf>
    <xf numFmtId="168" fontId="13" fillId="28" borderId="19" xfId="61" applyFont="1" applyFill="1" applyBorder="1" applyAlignment="1" applyProtection="1">
      <alignment vertical="center"/>
    </xf>
    <xf numFmtId="0" fontId="13" fillId="0" borderId="39" xfId="61" applyNumberFormat="1" applyFont="1" applyFill="1" applyBorder="1" applyAlignment="1" applyProtection="1">
      <alignment vertical="center"/>
    </xf>
    <xf numFmtId="168" fontId="36" fillId="0" borderId="0" xfId="61" applyNumberFormat="1" applyFont="1" applyBorder="1" applyAlignment="1" applyProtection="1">
      <alignment vertical="center"/>
    </xf>
    <xf numFmtId="168" fontId="13" fillId="28" borderId="21" xfId="61" applyFont="1" applyFill="1" applyBorder="1" applyAlignment="1" applyProtection="1">
      <alignment vertical="center"/>
    </xf>
    <xf numFmtId="164" fontId="13" fillId="0" borderId="0" xfId="61" applyNumberFormat="1" applyFont="1" applyBorder="1" applyAlignment="1" applyProtection="1">
      <alignment horizontal="left" vertical="center"/>
    </xf>
    <xf numFmtId="165" fontId="13" fillId="0" borderId="0" xfId="61" applyNumberFormat="1" applyFont="1" applyBorder="1" applyAlignment="1" applyProtection="1">
      <alignment vertical="center"/>
    </xf>
    <xf numFmtId="167" fontId="13" fillId="0" borderId="0" xfId="61" applyNumberFormat="1" applyFont="1" applyBorder="1" applyAlignment="1" applyProtection="1">
      <alignment vertical="center"/>
    </xf>
    <xf numFmtId="167" fontId="13" fillId="0" borderId="0" xfId="61" applyNumberFormat="1" applyFont="1" applyBorder="1" applyAlignment="1" applyProtection="1">
      <alignment horizontal="right" vertical="center"/>
    </xf>
    <xf numFmtId="175" fontId="13" fillId="0" borderId="21" xfId="61" applyNumberFormat="1" applyFont="1" applyBorder="1" applyAlignment="1" applyProtection="1">
      <alignment horizontal="right" vertical="center"/>
    </xf>
    <xf numFmtId="175" fontId="13" fillId="0" borderId="13" xfId="61" applyNumberFormat="1" applyFont="1" applyBorder="1" applyAlignment="1" applyProtection="1">
      <alignment horizontal="right" vertical="center"/>
    </xf>
    <xf numFmtId="167" fontId="13" fillId="0" borderId="0" xfId="61" applyNumberFormat="1" applyFont="1" applyBorder="1" applyAlignment="1" applyProtection="1">
      <alignment horizontal="left" vertical="center"/>
    </xf>
    <xf numFmtId="168" fontId="29" fillId="0" borderId="0" xfId="61" applyNumberFormat="1" applyFont="1" applyAlignment="1" applyProtection="1">
      <alignment vertical="center"/>
    </xf>
    <xf numFmtId="1" fontId="29" fillId="0" borderId="0" xfId="61" applyNumberFormat="1" applyFont="1" applyAlignment="1" applyProtection="1">
      <alignment vertical="center"/>
    </xf>
    <xf numFmtId="168" fontId="38" fillId="0" borderId="0" xfId="61" applyFont="1" applyAlignment="1" applyProtection="1">
      <alignment vertical="center"/>
    </xf>
    <xf numFmtId="168" fontId="13" fillId="0" borderId="0" xfId="61" quotePrefix="1" applyFont="1" applyAlignment="1" applyProtection="1">
      <alignment vertical="center"/>
    </xf>
    <xf numFmtId="168" fontId="13" fillId="0" borderId="0" xfId="61" quotePrefix="1" applyFont="1" applyAlignment="1" applyProtection="1">
      <alignment horizontal="right" vertical="center"/>
    </xf>
    <xf numFmtId="168" fontId="32" fillId="0" borderId="0" xfId="61" applyFont="1" applyAlignment="1" applyProtection="1">
      <alignment horizontal="right" vertical="center"/>
    </xf>
    <xf numFmtId="168" fontId="53" fillId="0" borderId="0" xfId="61" applyFont="1" applyAlignment="1" applyProtection="1">
      <alignment vertical="center"/>
    </xf>
    <xf numFmtId="168" fontId="53" fillId="0" borderId="0" xfId="61" applyFont="1" applyAlignment="1" applyProtection="1">
      <alignment horizontal="right" vertical="center"/>
    </xf>
    <xf numFmtId="2" fontId="55" fillId="0" borderId="0" xfId="61" applyNumberFormat="1" applyFont="1" applyFill="1" applyBorder="1" applyAlignment="1" applyProtection="1">
      <alignment vertical="center"/>
    </xf>
    <xf numFmtId="164" fontId="27" fillId="0" borderId="18" xfId="61" applyNumberFormat="1" applyFont="1" applyBorder="1" applyAlignment="1" applyProtection="1">
      <alignment horizontal="left" vertical="center"/>
    </xf>
    <xf numFmtId="164" fontId="27" fillId="0" borderId="32" xfId="61" applyNumberFormat="1" applyFont="1" applyBorder="1" applyAlignment="1" applyProtection="1">
      <alignment horizontal="left" vertical="center"/>
    </xf>
    <xf numFmtId="168" fontId="13" fillId="0" borderId="32" xfId="61" applyFont="1" applyBorder="1" applyAlignment="1" applyProtection="1">
      <alignment vertical="center"/>
    </xf>
    <xf numFmtId="168" fontId="27" fillId="0" borderId="17" xfId="61" applyFont="1" applyBorder="1" applyAlignment="1" applyProtection="1">
      <alignment vertical="center"/>
    </xf>
    <xf numFmtId="168" fontId="27" fillId="0" borderId="33" xfId="61" applyFont="1" applyBorder="1" applyAlignment="1" applyProtection="1">
      <alignment horizontal="center" vertical="center"/>
    </xf>
    <xf numFmtId="2" fontId="29" fillId="0" borderId="0" xfId="61" applyNumberFormat="1" applyFont="1" applyAlignment="1" applyProtection="1">
      <alignment vertical="center"/>
    </xf>
    <xf numFmtId="164" fontId="27" fillId="0" borderId="22" xfId="61" applyNumberFormat="1" applyFont="1" applyBorder="1" applyAlignment="1" applyProtection="1">
      <alignment horizontal="left" vertical="center"/>
    </xf>
    <xf numFmtId="168" fontId="27" fillId="0" borderId="21" xfId="61" applyFont="1" applyBorder="1" applyAlignment="1" applyProtection="1">
      <alignment vertical="center"/>
    </xf>
    <xf numFmtId="164" fontId="13" fillId="0" borderId="42" xfId="61" applyNumberFormat="1" applyFont="1" applyBorder="1" applyAlignment="1" applyProtection="1">
      <alignment horizontal="left" vertical="center"/>
    </xf>
    <xf numFmtId="164" fontId="13" fillId="0" borderId="37" xfId="61" applyNumberFormat="1" applyFont="1" applyBorder="1" applyAlignment="1" applyProtection="1">
      <alignment horizontal="left" vertical="center"/>
    </xf>
    <xf numFmtId="164" fontId="13" fillId="0" borderId="31" xfId="61" applyNumberFormat="1" applyFont="1" applyBorder="1" applyAlignment="1" applyProtection="1">
      <alignment horizontal="left" vertical="center"/>
    </xf>
    <xf numFmtId="164" fontId="13" fillId="0" borderId="38" xfId="61" applyNumberFormat="1" applyFont="1" applyBorder="1" applyAlignment="1" applyProtection="1">
      <alignment horizontal="left" vertical="center"/>
    </xf>
    <xf numFmtId="164" fontId="13" fillId="0" borderId="39" xfId="61" applyNumberFormat="1" applyFont="1" applyBorder="1" applyAlignment="1" applyProtection="1">
      <alignment horizontal="left" vertical="center"/>
    </xf>
    <xf numFmtId="164" fontId="13" fillId="0" borderId="10" xfId="61" applyNumberFormat="1" applyFont="1" applyBorder="1" applyAlignment="1" applyProtection="1">
      <alignment horizontal="left" vertical="center"/>
    </xf>
    <xf numFmtId="2" fontId="13" fillId="28" borderId="23" xfId="61" applyNumberFormat="1" applyFont="1" applyFill="1" applyBorder="1" applyAlignment="1" applyProtection="1">
      <alignment horizontal="right" vertical="center" indent="1"/>
    </xf>
    <xf numFmtId="168" fontId="13" fillId="28" borderId="24" xfId="61" applyFont="1" applyFill="1" applyBorder="1" applyAlignment="1" applyProtection="1">
      <alignment vertical="center"/>
    </xf>
    <xf numFmtId="168" fontId="27" fillId="0" borderId="0" xfId="61" applyFont="1" applyAlignment="1" applyProtection="1">
      <alignment horizontal="left" vertical="center"/>
    </xf>
    <xf numFmtId="164" fontId="13" fillId="0" borderId="40" xfId="61" applyNumberFormat="1" applyFont="1" applyBorder="1" applyAlignment="1" applyProtection="1">
      <alignment horizontal="left" vertical="center"/>
    </xf>
    <xf numFmtId="164" fontId="13" fillId="0" borderId="41" xfId="61" applyNumberFormat="1" applyFont="1" applyBorder="1" applyAlignment="1" applyProtection="1">
      <alignment horizontal="left" vertical="center"/>
    </xf>
    <xf numFmtId="164" fontId="13" fillId="0" borderId="24" xfId="61" applyNumberFormat="1" applyFont="1" applyBorder="1" applyAlignment="1" applyProtection="1">
      <alignment horizontal="left" vertical="center"/>
    </xf>
    <xf numFmtId="2" fontId="13" fillId="28" borderId="21" xfId="61" applyNumberFormat="1" applyFont="1" applyFill="1" applyBorder="1" applyAlignment="1" applyProtection="1">
      <alignment horizontal="right" vertical="center" indent="1"/>
    </xf>
    <xf numFmtId="168" fontId="13" fillId="28" borderId="34" xfId="61" applyFont="1" applyFill="1" applyBorder="1" applyAlignment="1" applyProtection="1">
      <alignment vertical="center"/>
    </xf>
    <xf numFmtId="168" fontId="55" fillId="0" borderId="0" xfId="61" applyFont="1" applyAlignment="1" applyProtection="1">
      <alignment horizontal="right" vertical="center"/>
    </xf>
    <xf numFmtId="168" fontId="13" fillId="0" borderId="0" xfId="61" applyFont="1" applyAlignment="1" applyProtection="1">
      <alignment horizontal="right" vertical="center"/>
    </xf>
    <xf numFmtId="168" fontId="49" fillId="0" borderId="0" xfId="61" applyFont="1" applyAlignment="1" applyProtection="1">
      <alignment vertical="center"/>
    </xf>
    <xf numFmtId="168" fontId="13" fillId="0" borderId="0" xfId="61" applyFont="1" applyAlignment="1" applyProtection="1">
      <alignment horizontal="center" vertical="center"/>
    </xf>
    <xf numFmtId="164" fontId="27" fillId="0" borderId="0" xfId="61" applyNumberFormat="1" applyFont="1" applyAlignment="1" applyProtection="1">
      <alignment horizontal="left" vertical="center"/>
    </xf>
    <xf numFmtId="168" fontId="27" fillId="0" borderId="0" xfId="61" applyFont="1" applyAlignment="1" applyProtection="1">
      <alignment horizontal="right" vertical="center"/>
    </xf>
    <xf numFmtId="168" fontId="59" fillId="0" borderId="0" xfId="61" applyFont="1" applyAlignment="1" applyProtection="1">
      <alignment vertical="center"/>
    </xf>
    <xf numFmtId="166" fontId="13" fillId="0" borderId="0" xfId="61" applyNumberFormat="1" applyFont="1" applyBorder="1" applyAlignment="1" applyProtection="1">
      <alignment vertical="center"/>
    </xf>
    <xf numFmtId="175" fontId="13" fillId="0" borderId="13" xfId="61" applyNumberFormat="1" applyFont="1" applyBorder="1" applyAlignment="1" applyProtection="1">
      <alignment vertical="center"/>
    </xf>
    <xf numFmtId="164" fontId="28" fillId="0" borderId="0" xfId="61" applyNumberFormat="1" applyFont="1" applyBorder="1" applyAlignment="1" applyProtection="1">
      <alignment horizontal="left" vertical="center"/>
    </xf>
    <xf numFmtId="165" fontId="27" fillId="0" borderId="0" xfId="61" applyNumberFormat="1" applyFont="1" applyBorder="1" applyAlignment="1" applyProtection="1">
      <alignment vertical="center"/>
    </xf>
    <xf numFmtId="164" fontId="13" fillId="0" borderId="32" xfId="61" applyNumberFormat="1" applyFont="1" applyBorder="1" applyAlignment="1" applyProtection="1">
      <alignment horizontal="left" vertical="center"/>
    </xf>
    <xf numFmtId="165" fontId="13" fillId="0" borderId="32" xfId="61" applyNumberFormat="1" applyFont="1" applyBorder="1" applyAlignment="1" applyProtection="1">
      <alignment vertical="center"/>
    </xf>
    <xf numFmtId="167" fontId="13" fillId="0" borderId="32" xfId="61" applyNumberFormat="1" applyFont="1" applyBorder="1" applyAlignment="1" applyProtection="1">
      <alignment vertical="center"/>
    </xf>
    <xf numFmtId="167" fontId="13" fillId="0" borderId="33" xfId="61" applyNumberFormat="1" applyFont="1" applyBorder="1" applyAlignment="1" applyProtection="1">
      <alignment horizontal="left" vertical="center"/>
    </xf>
    <xf numFmtId="164" fontId="13" fillId="0" borderId="18" xfId="61" applyNumberFormat="1" applyFont="1" applyBorder="1" applyAlignment="1" applyProtection="1">
      <alignment horizontal="left" vertical="center"/>
    </xf>
    <xf numFmtId="165" fontId="13" fillId="0" borderId="16" xfId="61" applyNumberFormat="1" applyFont="1" applyBorder="1" applyAlignment="1" applyProtection="1">
      <alignment vertical="center"/>
    </xf>
    <xf numFmtId="168" fontId="13" fillId="0" borderId="17" xfId="61" applyFont="1" applyBorder="1" applyAlignment="1" applyProtection="1">
      <alignment horizontal="center" vertical="center"/>
    </xf>
    <xf numFmtId="165" fontId="13" fillId="0" borderId="17" xfId="61" applyNumberFormat="1" applyFont="1" applyBorder="1" applyAlignment="1" applyProtection="1">
      <alignment horizontal="center" vertical="center"/>
    </xf>
    <xf numFmtId="167" fontId="13" fillId="0" borderId="17" xfId="61" applyNumberFormat="1" applyFont="1" applyBorder="1" applyAlignment="1" applyProtection="1">
      <alignment horizontal="center" vertical="center"/>
    </xf>
    <xf numFmtId="167" fontId="13" fillId="0" borderId="17" xfId="61" applyNumberFormat="1" applyFont="1" applyBorder="1" applyAlignment="1" applyProtection="1">
      <alignment horizontal="left" vertical="center"/>
    </xf>
    <xf numFmtId="164" fontId="27" fillId="0" borderId="20" xfId="61" applyNumberFormat="1" applyFont="1" applyBorder="1" applyAlignment="1" applyProtection="1">
      <alignment horizontal="left" vertical="center"/>
    </xf>
    <xf numFmtId="168" fontId="13" fillId="0" borderId="21" xfId="61" applyFont="1" applyBorder="1" applyAlignment="1" applyProtection="1">
      <alignment horizontal="center" vertical="center"/>
    </xf>
    <xf numFmtId="165" fontId="13" fillId="0" borderId="21" xfId="61" quotePrefix="1" applyNumberFormat="1" applyFont="1" applyBorder="1" applyAlignment="1" applyProtection="1">
      <alignment horizontal="center" vertical="center"/>
    </xf>
    <xf numFmtId="167" fontId="13" fillId="0" borderId="21" xfId="61" applyNumberFormat="1" applyFont="1" applyBorder="1" applyAlignment="1" applyProtection="1">
      <alignment horizontal="center" vertical="center"/>
    </xf>
    <xf numFmtId="1" fontId="47" fillId="0" borderId="0" xfId="61" applyNumberFormat="1" applyFont="1" applyBorder="1" applyAlignment="1" applyProtection="1">
      <alignment vertical="center"/>
    </xf>
    <xf numFmtId="165" fontId="13" fillId="28" borderId="17" xfId="61" applyNumberFormat="1" applyFont="1" applyFill="1" applyBorder="1" applyAlignment="1" applyProtection="1">
      <alignment horizontal="left" vertical="center"/>
    </xf>
    <xf numFmtId="164" fontId="13" fillId="0" borderId="36" xfId="61" applyNumberFormat="1" applyFont="1" applyBorder="1" applyAlignment="1" applyProtection="1">
      <alignment horizontal="left" vertical="center"/>
    </xf>
    <xf numFmtId="165" fontId="13" fillId="24" borderId="25" xfId="61" applyNumberFormat="1" applyFont="1" applyFill="1" applyBorder="1" applyAlignment="1" applyProtection="1">
      <alignment vertical="center"/>
      <protection locked="0"/>
    </xf>
    <xf numFmtId="165" fontId="13" fillId="28" borderId="19" xfId="61" applyNumberFormat="1" applyFont="1" applyFill="1" applyBorder="1" applyAlignment="1" applyProtection="1">
      <alignment horizontal="left" vertical="center"/>
    </xf>
    <xf numFmtId="1" fontId="47" fillId="0" borderId="0" xfId="61" applyNumberFormat="1" applyFont="1" applyAlignment="1" applyProtection="1">
      <alignment vertical="center"/>
    </xf>
    <xf numFmtId="168" fontId="13" fillId="0" borderId="18" xfId="61" applyFont="1" applyBorder="1" applyAlignment="1" applyProtection="1">
      <alignment vertical="center"/>
    </xf>
    <xf numFmtId="168" fontId="13" fillId="0" borderId="38" xfId="61" applyFont="1" applyBorder="1" applyAlignment="1" applyProtection="1">
      <alignment vertical="center"/>
    </xf>
    <xf numFmtId="168" fontId="13" fillId="0" borderId="39" xfId="61" applyFont="1" applyBorder="1" applyAlignment="1" applyProtection="1">
      <alignment vertical="center"/>
    </xf>
    <xf numFmtId="168" fontId="13" fillId="0" borderId="30" xfId="61" applyFont="1" applyBorder="1" applyAlignment="1" applyProtection="1">
      <alignment vertical="center"/>
    </xf>
    <xf numFmtId="165" fontId="13" fillId="28" borderId="11" xfId="61" applyNumberFormat="1" applyFont="1" applyFill="1" applyBorder="1" applyAlignment="1" applyProtection="1">
      <alignment horizontal="left" vertical="center"/>
    </xf>
    <xf numFmtId="165" fontId="13" fillId="28" borderId="23" xfId="61" applyNumberFormat="1" applyFont="1" applyFill="1" applyBorder="1" applyAlignment="1" applyProtection="1">
      <alignment vertical="center"/>
    </xf>
    <xf numFmtId="165" fontId="13" fillId="28" borderId="19" xfId="61" applyNumberFormat="1" applyFont="1" applyFill="1" applyBorder="1" applyAlignment="1" applyProtection="1">
      <alignment vertical="center"/>
    </xf>
    <xf numFmtId="165" fontId="13" fillId="28" borderId="11" xfId="61" applyNumberFormat="1" applyFont="1" applyFill="1" applyBorder="1" applyAlignment="1" applyProtection="1">
      <alignment vertical="center"/>
    </xf>
    <xf numFmtId="168" fontId="13" fillId="0" borderId="43" xfId="61" applyFont="1" applyBorder="1" applyAlignment="1" applyProtection="1">
      <alignment vertical="center"/>
    </xf>
    <xf numFmtId="168" fontId="13" fillId="0" borderId="44" xfId="61" applyFont="1" applyBorder="1" applyAlignment="1" applyProtection="1">
      <alignment vertical="center"/>
    </xf>
    <xf numFmtId="165" fontId="13" fillId="28" borderId="21" xfId="61" applyNumberFormat="1" applyFont="1" applyFill="1" applyBorder="1" applyAlignment="1" applyProtection="1">
      <alignment vertical="center"/>
    </xf>
    <xf numFmtId="165" fontId="13" fillId="0" borderId="34" xfId="61" applyNumberFormat="1" applyFont="1" applyBorder="1" applyAlignment="1" applyProtection="1">
      <alignment vertical="center"/>
    </xf>
    <xf numFmtId="165" fontId="13" fillId="0" borderId="45" xfId="61" applyNumberFormat="1" applyFont="1" applyBorder="1" applyAlignment="1" applyProtection="1">
      <alignment vertical="center"/>
    </xf>
    <xf numFmtId="165" fontId="13" fillId="0" borderId="0" xfId="61" applyNumberFormat="1" applyFont="1" applyBorder="1" applyAlignment="1" applyProtection="1">
      <alignment horizontal="left" vertical="center"/>
    </xf>
    <xf numFmtId="168" fontId="39" fillId="0" borderId="0" xfId="61" applyFont="1" applyAlignment="1" applyProtection="1">
      <alignment horizontal="right" vertical="center"/>
    </xf>
    <xf numFmtId="165" fontId="13" fillId="0" borderId="0" xfId="61" applyNumberFormat="1" applyFont="1" applyAlignment="1" applyProtection="1">
      <alignment vertical="center"/>
    </xf>
    <xf numFmtId="165" fontId="13" fillId="0" borderId="15" xfId="61" applyNumberFormat="1" applyFont="1" applyBorder="1" applyAlignment="1" applyProtection="1">
      <alignment vertical="center"/>
    </xf>
    <xf numFmtId="1" fontId="55" fillId="0" borderId="0" xfId="61" applyNumberFormat="1" applyFont="1" applyBorder="1" applyAlignment="1" applyProtection="1">
      <alignment vertical="center"/>
    </xf>
    <xf numFmtId="168" fontId="55" fillId="0" borderId="0" xfId="61" applyNumberFormat="1" applyFont="1" applyAlignment="1" applyProtection="1">
      <alignment vertical="center"/>
    </xf>
    <xf numFmtId="1" fontId="55" fillId="0" borderId="0" xfId="61" applyNumberFormat="1" applyFont="1" applyBorder="1" applyAlignment="1" applyProtection="1">
      <alignment horizontal="center" vertical="center"/>
    </xf>
    <xf numFmtId="168" fontId="35" fillId="0" borderId="0" xfId="61" applyFont="1" applyProtection="1"/>
    <xf numFmtId="168" fontId="13" fillId="0" borderId="33" xfId="61" applyFont="1" applyBorder="1" applyAlignment="1" applyProtection="1">
      <alignment vertical="center"/>
    </xf>
    <xf numFmtId="165" fontId="27" fillId="0" borderId="18" xfId="61" applyNumberFormat="1" applyFont="1" applyBorder="1" applyAlignment="1" applyProtection="1">
      <alignment horizontal="centerContinuous" vertical="center"/>
    </xf>
    <xf numFmtId="168" fontId="27" fillId="0" borderId="33" xfId="61" applyFont="1" applyBorder="1" applyAlignment="1" applyProtection="1">
      <alignment horizontal="centerContinuous" vertical="center"/>
    </xf>
    <xf numFmtId="168" fontId="55" fillId="0" borderId="0" xfId="61" applyFont="1" applyAlignment="1" applyProtection="1">
      <alignment horizontal="left" vertical="center"/>
    </xf>
    <xf numFmtId="2" fontId="55" fillId="0" borderId="0" xfId="61" applyNumberFormat="1" applyFont="1" applyBorder="1" applyAlignment="1" applyProtection="1">
      <alignment vertical="center"/>
    </xf>
    <xf numFmtId="168" fontId="13" fillId="0" borderId="16" xfId="61" applyFont="1" applyBorder="1" applyAlignment="1" applyProtection="1">
      <alignment vertical="center"/>
    </xf>
    <xf numFmtId="175" fontId="13" fillId="24" borderId="25" xfId="61" applyNumberFormat="1" applyFont="1" applyFill="1" applyBorder="1" applyAlignment="1" applyProtection="1">
      <alignment vertical="center"/>
      <protection locked="0"/>
    </xf>
    <xf numFmtId="165" fontId="27" fillId="0" borderId="22" xfId="61" applyNumberFormat="1" applyFont="1" applyBorder="1" applyAlignment="1" applyProtection="1">
      <alignment horizontal="centerContinuous" vertical="center"/>
    </xf>
    <xf numFmtId="168" fontId="27" fillId="0" borderId="34" xfId="61" applyFont="1" applyBorder="1" applyAlignment="1" applyProtection="1">
      <alignment horizontal="centerContinuous" vertical="center"/>
    </xf>
    <xf numFmtId="165" fontId="27" fillId="0" borderId="22" xfId="61" applyNumberFormat="1" applyFont="1" applyBorder="1" applyAlignment="1" applyProtection="1">
      <alignment vertical="center"/>
    </xf>
    <xf numFmtId="164" fontId="27" fillId="0" borderId="21" xfId="61" applyNumberFormat="1" applyFont="1" applyBorder="1" applyAlignment="1" applyProtection="1">
      <alignment horizontal="right" vertical="center"/>
    </xf>
    <xf numFmtId="164" fontId="27" fillId="0" borderId="22" xfId="61" applyNumberFormat="1" applyFont="1" applyBorder="1" applyAlignment="1" applyProtection="1">
      <alignment horizontal="center" vertical="center"/>
    </xf>
    <xf numFmtId="164" fontId="27" fillId="0" borderId="13" xfId="61" applyNumberFormat="1" applyFont="1" applyBorder="1" applyAlignment="1" applyProtection="1">
      <alignment horizontal="center" vertical="center"/>
    </xf>
    <xf numFmtId="164" fontId="27" fillId="0" borderId="45" xfId="61" applyNumberFormat="1" applyFont="1" applyBorder="1" applyAlignment="1" applyProtection="1">
      <alignment horizontal="center" vertical="center"/>
    </xf>
    <xf numFmtId="1" fontId="13" fillId="28" borderId="17" xfId="61" applyNumberFormat="1" applyFont="1" applyFill="1" applyBorder="1" applyAlignment="1" applyProtection="1">
      <alignment vertical="center"/>
    </xf>
    <xf numFmtId="164" fontId="56" fillId="0" borderId="0" xfId="61" applyNumberFormat="1" applyFont="1" applyBorder="1" applyAlignment="1" applyProtection="1">
      <alignment horizontal="centerContinuous" vertical="center"/>
    </xf>
    <xf numFmtId="1" fontId="13" fillId="28" borderId="19" xfId="61" applyNumberFormat="1" applyFont="1" applyFill="1" applyBorder="1" applyAlignment="1" applyProtection="1">
      <alignment vertical="center"/>
    </xf>
    <xf numFmtId="164" fontId="56" fillId="0" borderId="0" xfId="61" applyNumberFormat="1" applyFont="1" applyBorder="1" applyAlignment="1" applyProtection="1">
      <alignment horizontal="left" vertical="center"/>
    </xf>
    <xf numFmtId="1" fontId="13" fillId="28" borderId="46" xfId="61" applyNumberFormat="1" applyFont="1" applyFill="1" applyBorder="1" applyAlignment="1" applyProtection="1">
      <alignment vertical="center"/>
    </xf>
    <xf numFmtId="164" fontId="27" fillId="0" borderId="47" xfId="61" applyNumberFormat="1" applyFont="1" applyBorder="1" applyAlignment="1" applyProtection="1">
      <alignment horizontal="left" vertical="center"/>
    </xf>
    <xf numFmtId="164" fontId="27" fillId="0" borderId="48" xfId="61" applyNumberFormat="1" applyFont="1" applyBorder="1" applyAlignment="1" applyProtection="1">
      <alignment horizontal="left" vertical="center"/>
    </xf>
    <xf numFmtId="164" fontId="27" fillId="0" borderId="49" xfId="61" applyNumberFormat="1" applyFont="1" applyBorder="1" applyAlignment="1" applyProtection="1">
      <alignment horizontal="left" vertical="center"/>
    </xf>
    <xf numFmtId="167" fontId="27" fillId="0" borderId="50" xfId="61" applyNumberFormat="1" applyFont="1" applyBorder="1" applyAlignment="1" applyProtection="1">
      <alignment vertical="center"/>
    </xf>
    <xf numFmtId="167" fontId="27" fillId="0" borderId="51" xfId="61" applyNumberFormat="1" applyFont="1" applyBorder="1" applyAlignment="1" applyProtection="1">
      <alignment vertical="center"/>
    </xf>
    <xf numFmtId="168" fontId="56" fillId="0" borderId="0" xfId="61" applyNumberFormat="1" applyFont="1" applyAlignment="1" applyProtection="1">
      <alignment vertical="center"/>
    </xf>
    <xf numFmtId="49" fontId="36" fillId="25" borderId="0" xfId="61" applyNumberFormat="1" applyFont="1" applyFill="1" applyBorder="1" applyAlignment="1" applyProtection="1">
      <alignment vertical="center"/>
    </xf>
    <xf numFmtId="49" fontId="36" fillId="25" borderId="0" xfId="61" applyNumberFormat="1" applyFont="1" applyFill="1" applyAlignment="1" applyProtection="1">
      <alignment vertical="center"/>
    </xf>
    <xf numFmtId="1" fontId="13" fillId="0" borderId="22" xfId="61" applyNumberFormat="1" applyFont="1" applyBorder="1" applyAlignment="1" applyProtection="1">
      <alignment vertical="center"/>
    </xf>
    <xf numFmtId="1" fontId="13" fillId="0" borderId="15" xfId="61" applyNumberFormat="1" applyFont="1" applyBorder="1" applyAlignment="1" applyProtection="1">
      <alignment vertical="center"/>
    </xf>
    <xf numFmtId="1" fontId="13" fillId="0" borderId="34" xfId="61" applyNumberFormat="1" applyFont="1" applyBorder="1" applyAlignment="1" applyProtection="1">
      <alignment vertical="center"/>
    </xf>
    <xf numFmtId="168" fontId="27" fillId="0" borderId="0" xfId="61" applyNumberFormat="1" applyFont="1" applyBorder="1" applyAlignment="1" applyProtection="1">
      <alignment vertical="center"/>
    </xf>
    <xf numFmtId="1" fontId="27" fillId="0" borderId="0" xfId="61" applyNumberFormat="1" applyFont="1" applyBorder="1" applyAlignment="1" applyProtection="1">
      <alignment vertical="center"/>
    </xf>
    <xf numFmtId="168" fontId="58" fillId="0" borderId="0" xfId="61" applyFont="1" applyAlignment="1" applyProtection="1">
      <alignment vertical="center"/>
    </xf>
    <xf numFmtId="2" fontId="32" fillId="0" borderId="0" xfId="61" applyNumberFormat="1" applyFont="1" applyAlignment="1" applyProtection="1">
      <alignment horizontal="left" vertical="center"/>
    </xf>
    <xf numFmtId="168" fontId="13" fillId="0" borderId="0" xfId="61" applyFont="1" applyFill="1" applyAlignment="1" applyProtection="1">
      <alignment vertical="center"/>
    </xf>
    <xf numFmtId="168" fontId="27" fillId="0" borderId="52" xfId="61" applyNumberFormat="1" applyFont="1" applyBorder="1" applyAlignment="1" applyProtection="1">
      <alignment vertical="center"/>
    </xf>
    <xf numFmtId="168" fontId="27" fillId="0" borderId="53" xfId="61" applyNumberFormat="1" applyFont="1" applyBorder="1" applyAlignment="1" applyProtection="1">
      <alignment vertical="center"/>
    </xf>
    <xf numFmtId="168" fontId="13" fillId="0" borderId="53" xfId="61" applyFont="1" applyBorder="1" applyAlignment="1" applyProtection="1">
      <alignment vertical="center"/>
    </xf>
    <xf numFmtId="1" fontId="13" fillId="0" borderId="53" xfId="61" applyNumberFormat="1" applyFont="1" applyBorder="1" applyAlignment="1" applyProtection="1">
      <alignment vertical="center"/>
    </xf>
    <xf numFmtId="1" fontId="13" fillId="0" borderId="53" xfId="61" applyNumberFormat="1" applyFont="1" applyFill="1" applyBorder="1" applyAlignment="1" applyProtection="1">
      <alignment vertical="center"/>
    </xf>
    <xf numFmtId="1" fontId="13" fillId="0" borderId="54" xfId="61" applyNumberFormat="1" applyFont="1" applyBorder="1" applyAlignment="1" applyProtection="1">
      <alignment horizontal="center" vertical="center"/>
    </xf>
    <xf numFmtId="1" fontId="13" fillId="0" borderId="55" xfId="61" applyNumberFormat="1" applyFont="1" applyBorder="1" applyAlignment="1" applyProtection="1">
      <alignment horizontal="center" vertical="center"/>
    </xf>
    <xf numFmtId="168" fontId="27" fillId="25" borderId="0" xfId="61" applyFont="1" applyFill="1" applyAlignment="1" applyProtection="1">
      <alignment vertical="center"/>
    </xf>
    <xf numFmtId="168" fontId="37" fillId="0" borderId="0" xfId="61" applyNumberFormat="1" applyFont="1" applyAlignment="1" applyProtection="1">
      <alignment vertical="center"/>
    </xf>
    <xf numFmtId="168" fontId="33" fillId="0" borderId="0" xfId="61" applyFont="1" applyAlignment="1" applyProtection="1">
      <alignment vertical="center"/>
    </xf>
    <xf numFmtId="168" fontId="36" fillId="0" borderId="0" xfId="61" quotePrefix="1" applyFont="1" applyAlignment="1" applyProtection="1">
      <alignment vertical="center"/>
    </xf>
    <xf numFmtId="168" fontId="53" fillId="25" borderId="0" xfId="61" applyFont="1" applyFill="1" applyBorder="1" applyAlignment="1" applyProtection="1">
      <alignment vertical="center"/>
    </xf>
    <xf numFmtId="2" fontId="32" fillId="0" borderId="0" xfId="61" applyNumberFormat="1" applyFont="1" applyAlignment="1" applyProtection="1">
      <alignment horizontal="right" vertical="center"/>
    </xf>
    <xf numFmtId="0" fontId="26" fillId="27" borderId="30" xfId="0" applyNumberFormat="1" applyFont="1" applyFill="1" applyBorder="1" applyAlignment="1" applyProtection="1">
      <protection locked="0"/>
    </xf>
    <xf numFmtId="168" fontId="53" fillId="25" borderId="0" xfId="61" applyFont="1" applyFill="1" applyAlignment="1" applyProtection="1">
      <alignment vertical="center"/>
    </xf>
    <xf numFmtId="168" fontId="13" fillId="0" borderId="40" xfId="61" applyFont="1" applyBorder="1" applyAlignment="1" applyProtection="1">
      <alignment vertical="center"/>
    </xf>
    <xf numFmtId="168" fontId="13" fillId="0" borderId="41" xfId="61" applyFont="1" applyBorder="1" applyAlignment="1" applyProtection="1">
      <alignment vertical="center"/>
    </xf>
    <xf numFmtId="164" fontId="27" fillId="0" borderId="13" xfId="61" applyNumberFormat="1" applyFont="1" applyBorder="1" applyAlignment="1" applyProtection="1">
      <alignment horizontal="centerContinuous" vertical="center"/>
    </xf>
    <xf numFmtId="167" fontId="13" fillId="0" borderId="32" xfId="61" applyNumberFormat="1" applyFont="1" applyBorder="1" applyAlignment="1" applyProtection="1">
      <alignment horizontal="left" vertical="center"/>
    </xf>
    <xf numFmtId="167" fontId="13" fillId="0" borderId="36" xfId="61" applyNumberFormat="1" applyFont="1" applyBorder="1" applyAlignment="1" applyProtection="1">
      <alignment horizontal="centerContinuous" vertical="center"/>
    </xf>
    <xf numFmtId="167" fontId="13" fillId="0" borderId="56" xfId="61" applyNumberFormat="1" applyFont="1" applyBorder="1" applyAlignment="1" applyProtection="1">
      <alignment horizontal="centerContinuous" vertical="center"/>
    </xf>
    <xf numFmtId="167" fontId="13" fillId="0" borderId="24" xfId="61" applyNumberFormat="1" applyFont="1" applyBorder="1" applyAlignment="1" applyProtection="1">
      <alignment horizontal="centerContinuous" vertical="center"/>
    </xf>
    <xf numFmtId="0" fontId="60" fillId="0" borderId="0" xfId="0" applyFont="1" applyProtection="1"/>
    <xf numFmtId="164" fontId="13" fillId="0" borderId="43" xfId="61" applyNumberFormat="1" applyFont="1" applyBorder="1" applyAlignment="1" applyProtection="1">
      <alignment horizontal="left" vertical="center"/>
    </xf>
    <xf numFmtId="164" fontId="13" fillId="0" borderId="44" xfId="61" applyNumberFormat="1" applyFont="1" applyBorder="1" applyAlignment="1" applyProtection="1">
      <alignment horizontal="left" vertical="center"/>
    </xf>
    <xf numFmtId="164" fontId="13" fillId="0" borderId="26" xfId="61" applyNumberFormat="1" applyFont="1" applyBorder="1" applyAlignment="1" applyProtection="1">
      <alignment horizontal="left" vertical="center"/>
    </xf>
    <xf numFmtId="168" fontId="61" fillId="0" borderId="0" xfId="61" applyFont="1" applyAlignment="1" applyProtection="1">
      <alignment vertical="center"/>
    </xf>
    <xf numFmtId="168" fontId="27" fillId="0" borderId="0" xfId="61" applyNumberFormat="1" applyFont="1" applyFill="1" applyBorder="1" applyAlignment="1" applyProtection="1">
      <alignment vertical="center"/>
    </xf>
    <xf numFmtId="168" fontId="33" fillId="0" borderId="0" xfId="61" applyNumberFormat="1" applyFont="1" applyFill="1" applyBorder="1" applyAlignment="1" applyProtection="1">
      <alignment vertical="center"/>
    </xf>
    <xf numFmtId="166" fontId="13" fillId="0" borderId="27" xfId="61" applyNumberFormat="1" applyFont="1" applyFill="1" applyBorder="1" applyAlignment="1" applyProtection="1">
      <alignment vertical="center"/>
    </xf>
    <xf numFmtId="49" fontId="46" fillId="24" borderId="30" xfId="54" applyNumberFormat="1" applyFont="1" applyFill="1" applyBorder="1" applyAlignment="1" applyProtection="1">
      <alignment horizontal="left"/>
      <protection locked="0"/>
    </xf>
    <xf numFmtId="168" fontId="13" fillId="25" borderId="0" xfId="61" applyFont="1" applyFill="1" applyBorder="1" applyAlignment="1" applyProtection="1">
      <alignment vertical="center"/>
    </xf>
    <xf numFmtId="168" fontId="13" fillId="0" borderId="42" xfId="61" applyFont="1" applyBorder="1" applyAlignment="1" applyProtection="1">
      <alignment vertical="center"/>
    </xf>
    <xf numFmtId="168" fontId="13" fillId="0" borderId="37" xfId="61" applyFont="1" applyBorder="1" applyAlignment="1" applyProtection="1">
      <alignment vertical="center"/>
    </xf>
    <xf numFmtId="2" fontId="55" fillId="0" borderId="0" xfId="61" applyNumberFormat="1" applyFont="1" applyAlignment="1">
      <alignment horizontal="left"/>
    </xf>
    <xf numFmtId="14" fontId="0" fillId="0" borderId="0" xfId="0" applyNumberFormat="1"/>
    <xf numFmtId="0" fontId="27" fillId="0" borderId="0" xfId="0" applyFont="1"/>
    <xf numFmtId="0" fontId="13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3" fillId="0" borderId="0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72" fontId="13" fillId="0" borderId="0" xfId="0" applyNumberFormat="1" applyFont="1" applyFill="1" applyBorder="1" applyAlignment="1" applyProtection="1">
      <alignment horizontal="left"/>
    </xf>
    <xf numFmtId="164" fontId="13" fillId="28" borderId="17" xfId="61" applyNumberFormat="1" applyFont="1" applyFill="1" applyBorder="1" applyAlignment="1" applyProtection="1"/>
    <xf numFmtId="164" fontId="13" fillId="28" borderId="19" xfId="61" applyNumberFormat="1" applyFont="1" applyFill="1" applyBorder="1" applyAlignment="1" applyProtection="1"/>
    <xf numFmtId="164" fontId="13" fillId="28" borderId="21" xfId="61" applyNumberFormat="1" applyFont="1" applyFill="1" applyBorder="1" applyAlignment="1" applyProtection="1"/>
    <xf numFmtId="0" fontId="55" fillId="0" borderId="4" xfId="0" applyFont="1" applyBorder="1" applyProtection="1"/>
    <xf numFmtId="166" fontId="27" fillId="0" borderId="0" xfId="61" applyNumberFormat="1" applyFont="1" applyBorder="1" applyAlignment="1" applyProtection="1">
      <alignment vertical="center"/>
    </xf>
    <xf numFmtId="0" fontId="55" fillId="0" borderId="0" xfId="0" applyFont="1" applyBorder="1" applyProtection="1"/>
    <xf numFmtId="0" fontId="55" fillId="0" borderId="57" xfId="0" applyFont="1" applyBorder="1" applyProtection="1"/>
    <xf numFmtId="164" fontId="13" fillId="0" borderId="58" xfId="61" applyNumberFormat="1" applyFont="1" applyBorder="1" applyAlignment="1" applyProtection="1">
      <alignment horizontal="left" vertical="center"/>
    </xf>
    <xf numFmtId="164" fontId="13" fillId="0" borderId="59" xfId="61" applyNumberFormat="1" applyFont="1" applyBorder="1" applyAlignment="1" applyProtection="1">
      <alignment horizontal="left" vertical="center"/>
    </xf>
    <xf numFmtId="164" fontId="13" fillId="0" borderId="60" xfId="61" applyNumberFormat="1" applyFont="1" applyBorder="1" applyAlignment="1" applyProtection="1">
      <alignment horizontal="left" vertical="center"/>
    </xf>
    <xf numFmtId="165" fontId="13" fillId="0" borderId="21" xfId="61" applyNumberFormat="1" applyFont="1" applyBorder="1" applyAlignment="1" applyProtection="1">
      <alignment vertical="center"/>
    </xf>
    <xf numFmtId="165" fontId="13" fillId="0" borderId="49" xfId="61" applyNumberFormat="1" applyFont="1" applyBorder="1" applyAlignment="1" applyProtection="1">
      <alignment vertical="center"/>
    </xf>
    <xf numFmtId="165" fontId="27" fillId="0" borderId="50" xfId="61" applyNumberFormat="1" applyFont="1" applyBorder="1" applyAlignment="1" applyProtection="1">
      <alignment vertical="center"/>
    </xf>
    <xf numFmtId="165" fontId="13" fillId="0" borderId="50" xfId="61" applyNumberFormat="1" applyFont="1" applyBorder="1" applyAlignment="1" applyProtection="1">
      <alignment vertical="center"/>
    </xf>
    <xf numFmtId="165" fontId="13" fillId="0" borderId="61" xfId="61" applyNumberFormat="1" applyFont="1" applyBorder="1" applyAlignment="1" applyProtection="1">
      <alignment vertical="center"/>
    </xf>
    <xf numFmtId="168" fontId="27" fillId="0" borderId="62" xfId="61" applyNumberFormat="1" applyFont="1" applyBorder="1" applyAlignment="1" applyProtection="1">
      <alignment vertical="center"/>
    </xf>
    <xf numFmtId="1" fontId="13" fillId="0" borderId="63" xfId="61" applyNumberFormat="1" applyFont="1" applyBorder="1" applyAlignment="1" applyProtection="1">
      <alignment horizontal="center" vertical="center"/>
    </xf>
    <xf numFmtId="168" fontId="27" fillId="0" borderId="64" xfId="61" applyNumberFormat="1" applyFont="1" applyBorder="1" applyAlignment="1" applyProtection="1">
      <alignment vertical="center"/>
    </xf>
    <xf numFmtId="168" fontId="27" fillId="0" borderId="14" xfId="61" applyNumberFormat="1" applyFont="1" applyBorder="1" applyAlignment="1" applyProtection="1">
      <alignment vertical="center"/>
    </xf>
    <xf numFmtId="1" fontId="13" fillId="0" borderId="14" xfId="61" applyNumberFormat="1" applyFont="1" applyBorder="1" applyAlignment="1" applyProtection="1">
      <alignment vertical="center"/>
    </xf>
    <xf numFmtId="1" fontId="13" fillId="0" borderId="14" xfId="61" applyNumberFormat="1" applyFont="1" applyFill="1" applyBorder="1" applyAlignment="1" applyProtection="1">
      <alignment vertical="center"/>
    </xf>
    <xf numFmtId="1" fontId="13" fillId="0" borderId="53" xfId="61" applyNumberFormat="1" applyFont="1" applyBorder="1" applyAlignment="1" applyProtection="1">
      <alignment horizontal="center" vertical="center"/>
    </xf>
    <xf numFmtId="0" fontId="56" fillId="0" borderId="0" xfId="0" applyFont="1" applyProtection="1"/>
    <xf numFmtId="168" fontId="56" fillId="25" borderId="0" xfId="61" applyFont="1" applyFill="1" applyAlignment="1" applyProtection="1">
      <alignment vertical="center"/>
    </xf>
    <xf numFmtId="168" fontId="56" fillId="0" borderId="0" xfId="61" applyFont="1" applyBorder="1" applyAlignment="1" applyProtection="1">
      <alignment horizontal="right" vertical="center"/>
    </xf>
    <xf numFmtId="168" fontId="56" fillId="0" borderId="0" xfId="61" applyFont="1" applyAlignment="1" applyProtection="1">
      <alignment vertical="center"/>
    </xf>
    <xf numFmtId="1" fontId="55" fillId="0" borderId="0" xfId="61" applyNumberFormat="1" applyFont="1" applyAlignment="1" applyProtection="1">
      <alignment horizontal="right" vertical="center"/>
    </xf>
    <xf numFmtId="1" fontId="33" fillId="0" borderId="0" xfId="61" applyNumberFormat="1" applyFont="1" applyBorder="1" applyAlignment="1" applyProtection="1">
      <alignment horizontal="right"/>
    </xf>
    <xf numFmtId="167" fontId="13" fillId="0" borderId="40" xfId="61" applyNumberFormat="1" applyFont="1" applyBorder="1" applyAlignment="1" applyProtection="1">
      <alignment horizontal="centerContinuous" vertical="center"/>
    </xf>
    <xf numFmtId="1" fontId="13" fillId="0" borderId="0" xfId="61" applyNumberFormat="1" applyFont="1" applyBorder="1" applyAlignment="1" applyProtection="1">
      <alignment horizontal="right"/>
    </xf>
    <xf numFmtId="0" fontId="1" fillId="0" borderId="0" xfId="0" applyFont="1" applyFill="1"/>
    <xf numFmtId="168" fontId="55" fillId="0" borderId="65" xfId="61" applyFont="1" applyBorder="1" applyAlignment="1" applyProtection="1">
      <alignment vertical="center"/>
    </xf>
    <xf numFmtId="166" fontId="27" fillId="0" borderId="35" xfId="61" applyNumberFormat="1" applyFont="1" applyBorder="1" applyAlignment="1" applyProtection="1">
      <alignment horizontal="centerContinuous" vertical="center"/>
    </xf>
    <xf numFmtId="166" fontId="27" fillId="0" borderId="45" xfId="61" applyNumberFormat="1" applyFont="1" applyBorder="1" applyAlignment="1" applyProtection="1">
      <alignment horizontal="centerContinuous" vertical="center"/>
    </xf>
    <xf numFmtId="168" fontId="13" fillId="0" borderId="0" xfId="61" applyFont="1" applyAlignment="1" applyProtection="1">
      <alignment horizontal="centerContinuous" vertical="center"/>
    </xf>
    <xf numFmtId="0" fontId="27" fillId="0" borderId="0" xfId="0" applyFont="1" applyFill="1" applyBorder="1"/>
    <xf numFmtId="0" fontId="0" fillId="0" borderId="0" xfId="0" quotePrefix="1"/>
    <xf numFmtId="168" fontId="35" fillId="0" borderId="41" xfId="61" applyFont="1" applyBorder="1" applyAlignment="1" applyProtection="1">
      <alignment vertical="center"/>
    </xf>
    <xf numFmtId="167" fontId="13" fillId="0" borderId="34" xfId="61" applyNumberFormat="1" applyFont="1" applyBorder="1" applyAlignment="1" applyProtection="1">
      <alignment horizontal="centerContinuous" vertical="center"/>
    </xf>
    <xf numFmtId="167" fontId="13" fillId="0" borderId="20" xfId="61" applyNumberFormat="1" applyFont="1" applyBorder="1" applyAlignment="1" applyProtection="1">
      <alignment horizontal="centerContinuous" vertical="center"/>
    </xf>
    <xf numFmtId="167" fontId="13" fillId="0" borderId="16" xfId="61" applyNumberFormat="1" applyFont="1" applyBorder="1" applyAlignment="1" applyProtection="1">
      <alignment horizontal="centerContinuous" vertical="center"/>
    </xf>
    <xf numFmtId="168" fontId="13" fillId="0" borderId="35" xfId="61" applyFont="1" applyBorder="1" applyAlignment="1" applyProtection="1">
      <alignment vertical="center"/>
    </xf>
    <xf numFmtId="168" fontId="13" fillId="0" borderId="29" xfId="61" applyFont="1" applyBorder="1" applyAlignment="1" applyProtection="1">
      <alignment vertical="center"/>
    </xf>
    <xf numFmtId="168" fontId="35" fillId="0" borderId="22" xfId="61" applyFont="1" applyBorder="1" applyAlignment="1" applyProtection="1">
      <alignment vertical="center"/>
    </xf>
    <xf numFmtId="0" fontId="13" fillId="0" borderId="0" xfId="0" applyFont="1" applyProtection="1"/>
    <xf numFmtId="0" fontId="64" fillId="0" borderId="0" xfId="0" applyFont="1" applyProtection="1"/>
    <xf numFmtId="0" fontId="49" fillId="0" borderId="0" xfId="0" applyFont="1" applyProtection="1"/>
    <xf numFmtId="0" fontId="31" fillId="0" borderId="0" xfId="0" applyFont="1" applyBorder="1"/>
    <xf numFmtId="164" fontId="33" fillId="0" borderId="30" xfId="61" applyNumberFormat="1" applyFont="1" applyBorder="1" applyAlignment="1" applyProtection="1">
      <alignment horizontal="right" vertical="center"/>
    </xf>
    <xf numFmtId="0" fontId="36" fillId="0" borderId="0" xfId="0" applyFont="1" applyFill="1"/>
    <xf numFmtId="0" fontId="13" fillId="0" borderId="0" xfId="0" applyFont="1" applyFill="1" applyBorder="1" applyAlignment="1">
      <alignment vertical="top" wrapText="1"/>
    </xf>
    <xf numFmtId="0" fontId="62" fillId="0" borderId="0" xfId="0" applyFont="1" applyFill="1"/>
    <xf numFmtId="168" fontId="13" fillId="0" borderId="25" xfId="61" applyFont="1" applyBorder="1" applyAlignment="1" applyProtection="1">
      <alignment horizontal="center" vertical="center"/>
    </xf>
    <xf numFmtId="168" fontId="13" fillId="0" borderId="12" xfId="61" applyFont="1" applyBorder="1" applyAlignment="1" applyProtection="1">
      <alignment horizontal="center" vertical="center"/>
    </xf>
    <xf numFmtId="168" fontId="13" fillId="0" borderId="27" xfId="61" applyFont="1" applyBorder="1" applyAlignment="1" applyProtection="1">
      <alignment horizontal="center" vertical="center"/>
    </xf>
    <xf numFmtId="2" fontId="13" fillId="24" borderId="13" xfId="61" quotePrefix="1" applyNumberFormat="1" applyFont="1" applyFill="1" applyBorder="1" applyAlignment="1" applyProtection="1">
      <alignment horizontal="center" vertical="center"/>
      <protection locked="0"/>
    </xf>
    <xf numFmtId="166" fontId="13" fillId="24" borderId="56" xfId="61" applyNumberFormat="1" applyFont="1" applyFill="1" applyBorder="1" applyAlignment="1" applyProtection="1">
      <alignment vertical="center"/>
      <protection locked="0"/>
    </xf>
    <xf numFmtId="168" fontId="13" fillId="0" borderId="13" xfId="61" applyFont="1" applyBorder="1" applyAlignment="1" applyProtection="1">
      <alignment horizontal="right" vertical="center"/>
    </xf>
    <xf numFmtId="1" fontId="27" fillId="0" borderId="13" xfId="61" applyNumberFormat="1" applyFont="1" applyBorder="1" applyAlignment="1" applyProtection="1">
      <alignment horizontal="right" vertical="center"/>
    </xf>
    <xf numFmtId="2" fontId="13" fillId="0" borderId="13" xfId="61" applyNumberFormat="1" applyFont="1" applyBorder="1" applyAlignment="1" applyProtection="1">
      <alignment horizontal="right" vertical="center"/>
    </xf>
    <xf numFmtId="168" fontId="49" fillId="0" borderId="0" xfId="61" applyFont="1" applyAlignment="1" applyProtection="1">
      <alignment horizontal="right" vertical="center"/>
    </xf>
    <xf numFmtId="0" fontId="31" fillId="0" borderId="0" xfId="0" applyFont="1" applyFill="1" applyBorder="1"/>
    <xf numFmtId="164" fontId="65" fillId="0" borderId="0" xfId="61" applyNumberFormat="1" applyFont="1" applyAlignment="1" applyProtection="1">
      <alignment horizontal="left" vertical="center"/>
    </xf>
    <xf numFmtId="168" fontId="66" fillId="0" borderId="0" xfId="61" applyFont="1" applyBorder="1" applyAlignment="1" applyProtection="1">
      <alignment vertical="center"/>
    </xf>
    <xf numFmtId="168" fontId="67" fillId="0" borderId="0" xfId="61" applyFont="1" applyAlignment="1" applyProtection="1">
      <alignment vertical="center"/>
    </xf>
    <xf numFmtId="168" fontId="66" fillId="0" borderId="0" xfId="61" applyFont="1" applyAlignment="1" applyProtection="1">
      <alignment vertical="center"/>
    </xf>
    <xf numFmtId="168" fontId="66" fillId="0" borderId="0" xfId="61" applyFont="1" applyAlignment="1" applyProtection="1">
      <alignment horizontal="right" vertical="center"/>
    </xf>
    <xf numFmtId="176" fontId="67" fillId="0" borderId="0" xfId="61" applyNumberFormat="1" applyFont="1" applyAlignment="1" applyProtection="1">
      <alignment vertical="center"/>
    </xf>
    <xf numFmtId="3" fontId="27" fillId="0" borderId="13" xfId="61" applyNumberFormat="1" applyFont="1" applyBorder="1" applyAlignment="1" applyProtection="1">
      <alignment horizontal="right" vertical="center"/>
    </xf>
    <xf numFmtId="166" fontId="13" fillId="0" borderId="29" xfId="61" applyNumberFormat="1" applyFont="1" applyBorder="1" applyAlignment="1" applyProtection="1">
      <alignment horizontal="left" vertical="center"/>
    </xf>
    <xf numFmtId="0" fontId="0" fillId="0" borderId="0" xfId="0" applyFont="1" applyFill="1"/>
    <xf numFmtId="0" fontId="0" fillId="0" borderId="0" xfId="0" applyAlignment="1">
      <alignment horizontal="left"/>
    </xf>
    <xf numFmtId="168" fontId="13" fillId="25" borderId="0" xfId="61" applyFont="1" applyFill="1" applyAlignment="1" applyProtection="1">
      <alignment vertical="center"/>
    </xf>
    <xf numFmtId="168" fontId="48" fillId="25" borderId="0" xfId="61" applyFont="1" applyFill="1" applyAlignment="1" applyProtection="1">
      <alignment vertical="center"/>
    </xf>
    <xf numFmtId="164" fontId="25" fillId="25" borderId="0" xfId="61" applyNumberFormat="1" applyFont="1" applyFill="1" applyBorder="1" applyAlignment="1" applyProtection="1">
      <alignment vertical="center"/>
    </xf>
    <xf numFmtId="164" fontId="25" fillId="25" borderId="14" xfId="61" applyNumberFormat="1" applyFont="1" applyFill="1" applyBorder="1" applyAlignment="1" applyProtection="1">
      <alignment vertical="center"/>
    </xf>
    <xf numFmtId="168" fontId="13" fillId="25" borderId="14" xfId="61" applyFont="1" applyFill="1" applyBorder="1" applyAlignment="1" applyProtection="1">
      <alignment vertical="center"/>
    </xf>
    <xf numFmtId="168" fontId="25" fillId="25" borderId="14" xfId="61" applyFont="1" applyFill="1" applyBorder="1" applyAlignment="1" applyProtection="1">
      <alignment vertical="center"/>
    </xf>
    <xf numFmtId="168" fontId="30" fillId="25" borderId="14" xfId="61" applyFont="1" applyFill="1" applyBorder="1" applyAlignment="1" applyProtection="1">
      <alignment vertical="center"/>
    </xf>
    <xf numFmtId="168" fontId="25" fillId="25" borderId="0" xfId="61" applyFont="1" applyFill="1" applyBorder="1" applyAlignment="1" applyProtection="1">
      <alignment vertical="center"/>
    </xf>
    <xf numFmtId="168" fontId="30" fillId="25" borderId="0" xfId="61" applyFont="1" applyFill="1" applyBorder="1" applyAlignment="1" applyProtection="1">
      <alignment vertical="center"/>
    </xf>
    <xf numFmtId="0" fontId="13" fillId="25" borderId="0" xfId="0" applyFont="1" applyFill="1" applyProtection="1"/>
    <xf numFmtId="0" fontId="13" fillId="25" borderId="0" xfId="0" applyNumberFormat="1" applyFont="1" applyFill="1" applyBorder="1" applyAlignment="1" applyProtection="1">
      <alignment horizontal="left"/>
    </xf>
    <xf numFmtId="0" fontId="0" fillId="25" borderId="0" xfId="0" applyFill="1"/>
    <xf numFmtId="168" fontId="28" fillId="25" borderId="0" xfId="61" applyFont="1" applyFill="1" applyAlignment="1" applyProtection="1">
      <alignment vertical="center"/>
    </xf>
    <xf numFmtId="0" fontId="13" fillId="25" borderId="0" xfId="0" applyFont="1" applyFill="1"/>
    <xf numFmtId="164" fontId="13" fillId="25" borderId="16" xfId="61" applyNumberFormat="1" applyFont="1" applyFill="1" applyBorder="1" applyAlignment="1" applyProtection="1">
      <alignment horizontal="right" vertical="center"/>
    </xf>
    <xf numFmtId="3" fontId="0" fillId="25" borderId="13" xfId="0" applyNumberFormat="1" applyFill="1" applyBorder="1" applyAlignment="1">
      <alignment horizontal="center"/>
    </xf>
    <xf numFmtId="3" fontId="13" fillId="24" borderId="13" xfId="61" applyNumberFormat="1" applyFont="1" applyFill="1" applyBorder="1" applyAlignment="1" applyProtection="1">
      <alignment horizontal="center" vertical="center"/>
      <protection locked="0"/>
    </xf>
    <xf numFmtId="3" fontId="13" fillId="25" borderId="13" xfId="0" applyNumberFormat="1" applyFont="1" applyFill="1" applyBorder="1" applyAlignment="1">
      <alignment horizontal="center"/>
    </xf>
    <xf numFmtId="3" fontId="13" fillId="25" borderId="13" xfId="61" applyNumberFormat="1" applyFont="1" applyFill="1" applyBorder="1" applyAlignment="1" applyProtection="1">
      <alignment horizontal="center" vertical="center"/>
    </xf>
    <xf numFmtId="168" fontId="13" fillId="25" borderId="0" xfId="61" applyFont="1" applyFill="1" applyAlignment="1" applyProtection="1">
      <alignment horizontal="center" vertical="center"/>
    </xf>
    <xf numFmtId="164" fontId="28" fillId="25" borderId="0" xfId="61" applyNumberFormat="1" applyFont="1" applyFill="1" applyAlignment="1" applyProtection="1">
      <alignment horizontal="left" vertical="center"/>
    </xf>
    <xf numFmtId="0" fontId="0" fillId="25" borderId="0" xfId="0" applyFill="1" applyAlignment="1">
      <alignment horizontal="center"/>
    </xf>
    <xf numFmtId="0" fontId="27" fillId="25" borderId="0" xfId="0" applyFont="1" applyFill="1" applyAlignment="1">
      <alignment horizontal="center"/>
    </xf>
    <xf numFmtId="3" fontId="0" fillId="25" borderId="0" xfId="0" applyNumberFormat="1" applyFill="1" applyAlignment="1">
      <alignment horizontal="center"/>
    </xf>
    <xf numFmtId="177" fontId="27" fillId="25" borderId="66" xfId="0" applyNumberFormat="1" applyFont="1" applyFill="1" applyBorder="1" applyAlignment="1">
      <alignment horizontal="center"/>
    </xf>
    <xf numFmtId="0" fontId="49" fillId="25" borderId="0" xfId="0" applyFont="1" applyFill="1"/>
    <xf numFmtId="168" fontId="35" fillId="25" borderId="0" xfId="61" applyFont="1" applyFill="1" applyAlignment="1" applyProtection="1">
      <alignment vertical="center"/>
    </xf>
    <xf numFmtId="171" fontId="13" fillId="0" borderId="0" xfId="61" quotePrefix="1" applyNumberFormat="1" applyFont="1" applyFill="1" applyBorder="1" applyAlignment="1" applyProtection="1">
      <alignment horizontal="center" vertical="center"/>
    </xf>
    <xf numFmtId="1" fontId="32" fillId="0" borderId="0" xfId="61" applyNumberFormat="1" applyFont="1" applyBorder="1" applyAlignment="1" applyProtection="1">
      <alignment vertical="center"/>
    </xf>
    <xf numFmtId="168" fontId="36" fillId="0" borderId="0" xfId="61" applyFont="1" applyFill="1" applyAlignment="1" applyProtection="1">
      <alignment vertical="center"/>
    </xf>
    <xf numFmtId="166" fontId="27" fillId="0" borderId="0" xfId="61" applyNumberFormat="1" applyFont="1" applyBorder="1" applyAlignment="1" applyProtection="1">
      <alignment horizontal="centerContinuous" vertical="center"/>
    </xf>
    <xf numFmtId="164" fontId="27" fillId="0" borderId="32" xfId="61" applyNumberFormat="1" applyFont="1" applyBorder="1" applyAlignment="1" applyProtection="1">
      <alignment horizontal="centerContinuous" vertical="center"/>
    </xf>
    <xf numFmtId="168" fontId="31" fillId="0" borderId="32" xfId="61" applyFont="1" applyBorder="1" applyAlignment="1" applyProtection="1">
      <alignment horizontal="centerContinuous" vertical="center"/>
    </xf>
    <xf numFmtId="164" fontId="37" fillId="0" borderId="15" xfId="61" applyNumberFormat="1" applyFont="1" applyBorder="1" applyAlignment="1" applyProtection="1">
      <alignment horizontal="centerContinuous" vertical="center"/>
    </xf>
    <xf numFmtId="168" fontId="44" fillId="0" borderId="15" xfId="61" applyFont="1" applyBorder="1" applyAlignment="1" applyProtection="1">
      <alignment horizontal="centerContinuous" vertical="center"/>
    </xf>
    <xf numFmtId="164" fontId="27" fillId="0" borderId="15" xfId="61" applyNumberFormat="1" applyFont="1" applyBorder="1" applyAlignment="1" applyProtection="1">
      <alignment horizontal="centerContinuous" vertical="center"/>
    </xf>
    <xf numFmtId="175" fontId="13" fillId="0" borderId="0" xfId="61" applyNumberFormat="1" applyFont="1" applyBorder="1" applyAlignment="1" applyProtection="1">
      <alignment horizontal="right" vertical="center"/>
    </xf>
    <xf numFmtId="164" fontId="27" fillId="0" borderId="20" xfId="61" applyNumberFormat="1" applyFont="1" applyBorder="1" applyAlignment="1" applyProtection="1">
      <alignment horizontal="centerContinuous" vertical="center"/>
    </xf>
    <xf numFmtId="165" fontId="68" fillId="0" borderId="22" xfId="61" quotePrefix="1" applyNumberFormat="1" applyFont="1" applyBorder="1" applyAlignment="1" applyProtection="1">
      <alignment horizontal="centerContinuous" vertical="center"/>
    </xf>
    <xf numFmtId="168" fontId="68" fillId="0" borderId="34" xfId="61" applyFont="1" applyBorder="1" applyAlignment="1" applyProtection="1">
      <alignment horizontal="centerContinuous" vertical="center"/>
    </xf>
    <xf numFmtId="164" fontId="68" fillId="0" borderId="22" xfId="61" quotePrefix="1" applyNumberFormat="1" applyFont="1" applyBorder="1" applyAlignment="1" applyProtection="1">
      <alignment horizontal="centerContinuous" vertical="center"/>
    </xf>
    <xf numFmtId="168" fontId="33" fillId="0" borderId="34" xfId="61" applyFont="1" applyBorder="1" applyAlignment="1" applyProtection="1">
      <alignment horizontal="centerContinuous" vertical="center"/>
    </xf>
    <xf numFmtId="168" fontId="33" fillId="0" borderId="15" xfId="61" applyFont="1" applyBorder="1" applyAlignment="1" applyProtection="1">
      <alignment horizontal="centerContinuous" vertical="center"/>
    </xf>
    <xf numFmtId="164" fontId="68" fillId="0" borderId="35" xfId="61" quotePrefix="1" applyNumberFormat="1" applyFont="1" applyBorder="1" applyAlignment="1" applyProtection="1">
      <alignment horizontal="centerContinuous" vertical="center"/>
    </xf>
    <xf numFmtId="168" fontId="33" fillId="0" borderId="45" xfId="61" applyFont="1" applyBorder="1" applyAlignment="1" applyProtection="1">
      <alignment horizontal="centerContinuous" vertical="center"/>
    </xf>
    <xf numFmtId="175" fontId="13" fillId="24" borderId="25" xfId="61" applyNumberFormat="1" applyFont="1" applyFill="1" applyBorder="1" applyAlignment="1" applyProtection="1">
      <protection locked="0"/>
    </xf>
    <xf numFmtId="168" fontId="50" fillId="0" borderId="0" xfId="61" applyNumberFormat="1" applyFont="1" applyFill="1" applyBorder="1" applyAlignment="1" applyProtection="1">
      <alignment vertical="center"/>
    </xf>
    <xf numFmtId="166" fontId="27" fillId="0" borderId="0" xfId="61" applyNumberFormat="1" applyFont="1" applyFill="1" applyBorder="1" applyAlignment="1" applyProtection="1">
      <alignment horizontal="centerContinuous" vertical="center"/>
    </xf>
    <xf numFmtId="166" fontId="13" fillId="24" borderId="42" xfId="61" applyNumberFormat="1" applyFont="1" applyFill="1" applyBorder="1" applyAlignment="1" applyProtection="1">
      <alignment vertical="center"/>
      <protection locked="0"/>
    </xf>
    <xf numFmtId="166" fontId="13" fillId="24" borderId="38" xfId="61" applyNumberFormat="1" applyFont="1" applyFill="1" applyBorder="1" applyAlignment="1" applyProtection="1">
      <alignment vertical="center"/>
      <protection locked="0"/>
    </xf>
    <xf numFmtId="166" fontId="13" fillId="24" borderId="43" xfId="61" applyNumberFormat="1" applyFont="1" applyFill="1" applyBorder="1" applyAlignment="1" applyProtection="1">
      <alignment vertical="center"/>
      <protection locked="0"/>
    </xf>
    <xf numFmtId="166" fontId="13" fillId="24" borderId="31" xfId="61" applyNumberFormat="1" applyFont="1" applyFill="1" applyBorder="1" applyAlignment="1" applyProtection="1">
      <alignment vertical="center"/>
      <protection locked="0"/>
    </xf>
    <xf numFmtId="166" fontId="13" fillId="24" borderId="26" xfId="61" applyNumberFormat="1" applyFont="1" applyFill="1" applyBorder="1" applyAlignment="1" applyProtection="1">
      <alignment vertical="center"/>
      <protection locked="0"/>
    </xf>
    <xf numFmtId="168" fontId="66" fillId="0" borderId="0" xfId="61" applyFont="1" applyAlignment="1" applyProtection="1">
      <alignment horizontal="left" vertical="center"/>
    </xf>
    <xf numFmtId="168" fontId="67" fillId="0" borderId="0" xfId="61" applyFont="1" applyAlignment="1" applyProtection="1">
      <alignment horizontal="right" vertical="center"/>
    </xf>
    <xf numFmtId="168" fontId="67" fillId="0" borderId="0" xfId="61" applyFont="1" applyAlignment="1" applyProtection="1">
      <alignment horizontal="left" vertical="center"/>
    </xf>
    <xf numFmtId="168" fontId="67" fillId="0" borderId="0" xfId="61" applyFont="1" applyAlignment="1" applyProtection="1">
      <alignment horizontal="centerContinuous" vertical="center"/>
    </xf>
    <xf numFmtId="168" fontId="67" fillId="0" borderId="0" xfId="61" applyFont="1" applyAlignment="1" applyProtection="1">
      <alignment horizontal="center" vertical="center"/>
    </xf>
    <xf numFmtId="166" fontId="13" fillId="0" borderId="19" xfId="61" applyNumberFormat="1" applyFont="1" applyFill="1" applyBorder="1" applyAlignment="1" applyProtection="1">
      <alignment vertical="center"/>
    </xf>
    <xf numFmtId="166" fontId="13" fillId="0" borderId="21" xfId="61" applyNumberFormat="1" applyFont="1" applyFill="1" applyBorder="1" applyAlignment="1" applyProtection="1">
      <alignment vertical="center"/>
    </xf>
    <xf numFmtId="166" fontId="27" fillId="0" borderId="29" xfId="61" applyNumberFormat="1" applyFont="1" applyBorder="1" applyAlignment="1" applyProtection="1">
      <alignment horizontal="centerContinuous" vertical="center"/>
    </xf>
    <xf numFmtId="0" fontId="1" fillId="0" borderId="0" xfId="0" quotePrefix="1" applyFont="1" applyFill="1"/>
    <xf numFmtId="0" fontId="69" fillId="0" borderId="0" xfId="0" applyFont="1"/>
    <xf numFmtId="164" fontId="1" fillId="0" borderId="0" xfId="61" applyNumberFormat="1" applyFont="1" applyFill="1" applyBorder="1" applyAlignment="1" applyProtection="1">
      <alignment horizontal="left" vertical="center"/>
      <protection hidden="1"/>
    </xf>
    <xf numFmtId="0" fontId="13" fillId="0" borderId="0" xfId="0" quotePrefix="1" applyFont="1" applyFill="1"/>
    <xf numFmtId="0" fontId="0" fillId="0" borderId="0" xfId="0" applyProtection="1">
      <protection locked="0"/>
    </xf>
    <xf numFmtId="1" fontId="13" fillId="0" borderId="0" xfId="61" applyNumberFormat="1" applyFont="1" applyBorder="1" applyAlignment="1" applyProtection="1">
      <alignment horizontal="left" vertical="center"/>
    </xf>
    <xf numFmtId="164" fontId="27" fillId="0" borderId="20" xfId="61" applyNumberFormat="1" applyFont="1" applyFill="1" applyBorder="1" applyAlignment="1" applyProtection="1">
      <alignment vertical="center"/>
    </xf>
    <xf numFmtId="0" fontId="27" fillId="0" borderId="0" xfId="61" applyNumberFormat="1" applyFont="1" applyFill="1" applyBorder="1" applyAlignment="1" applyProtection="1">
      <alignment vertical="center"/>
    </xf>
    <xf numFmtId="164" fontId="27" fillId="0" borderId="22" xfId="61" applyNumberFormat="1" applyFont="1" applyFill="1" applyBorder="1" applyAlignment="1" applyProtection="1">
      <alignment vertical="center"/>
    </xf>
    <xf numFmtId="0" fontId="27" fillId="0" borderId="15" xfId="61" applyNumberFormat="1" applyFont="1" applyFill="1" applyBorder="1" applyAlignment="1" applyProtection="1">
      <alignment vertical="center"/>
    </xf>
    <xf numFmtId="168" fontId="27" fillId="0" borderId="15" xfId="61" applyFont="1" applyFill="1" applyBorder="1" applyAlignment="1" applyProtection="1">
      <alignment vertical="center"/>
    </xf>
    <xf numFmtId="0" fontId="27" fillId="0" borderId="15" xfId="61" applyNumberFormat="1" applyFont="1" applyFill="1" applyBorder="1" applyAlignment="1" applyProtection="1">
      <alignment horizontal="center" vertical="center"/>
    </xf>
    <xf numFmtId="1" fontId="27" fillId="0" borderId="15" xfId="61" applyNumberFormat="1" applyFont="1" applyFill="1" applyBorder="1" applyAlignment="1" applyProtection="1">
      <alignment horizontal="center"/>
    </xf>
    <xf numFmtId="168" fontId="27" fillId="0" borderId="15" xfId="61" applyNumberFormat="1" applyFont="1" applyFill="1" applyBorder="1" applyAlignment="1" applyProtection="1">
      <alignment horizontal="center" vertical="center"/>
    </xf>
    <xf numFmtId="167" fontId="27" fillId="0" borderId="15" xfId="61" applyNumberFormat="1" applyFont="1" applyFill="1" applyBorder="1" applyAlignment="1" applyProtection="1">
      <alignment vertical="center"/>
    </xf>
    <xf numFmtId="170" fontId="27" fillId="0" borderId="15" xfId="61" applyNumberFormat="1" applyFont="1" applyFill="1" applyBorder="1" applyAlignment="1" applyProtection="1">
      <alignment vertical="center"/>
    </xf>
    <xf numFmtId="168" fontId="27" fillId="0" borderId="15" xfId="61" applyNumberFormat="1" applyFont="1" applyFill="1" applyBorder="1" applyAlignment="1" applyProtection="1">
      <alignment vertical="center"/>
    </xf>
    <xf numFmtId="164" fontId="27" fillId="0" borderId="20" xfId="61" applyNumberFormat="1" applyFont="1" applyBorder="1" applyAlignment="1" applyProtection="1">
      <alignment horizontal="center" vertical="center"/>
    </xf>
    <xf numFmtId="164" fontId="13" fillId="24" borderId="27" xfId="61" applyNumberFormat="1" applyFont="1" applyFill="1" applyBorder="1" applyAlignment="1" applyProtection="1">
      <protection locked="0"/>
    </xf>
    <xf numFmtId="166" fontId="13" fillId="0" borderId="0" xfId="61" applyNumberFormat="1" applyFont="1" applyFill="1" applyBorder="1" applyAlignment="1" applyProtection="1">
      <alignment vertical="center"/>
    </xf>
    <xf numFmtId="168" fontId="27" fillId="0" borderId="17" xfId="61" applyFont="1" applyBorder="1" applyAlignment="1" applyProtection="1">
      <alignment horizontal="center" vertical="center"/>
    </xf>
    <xf numFmtId="168" fontId="27" fillId="0" borderId="19" xfId="61" applyFont="1" applyBorder="1" applyAlignment="1" applyProtection="1">
      <alignment horizontal="center" vertical="center"/>
    </xf>
    <xf numFmtId="165" fontId="13" fillId="0" borderId="67" xfId="61" applyNumberFormat="1" applyFont="1" applyBorder="1" applyAlignment="1" applyProtection="1">
      <alignment vertical="center"/>
    </xf>
    <xf numFmtId="165" fontId="13" fillId="0" borderId="68" xfId="61" applyNumberFormat="1" applyFont="1" applyBorder="1" applyAlignment="1" applyProtection="1">
      <alignment vertical="center"/>
    </xf>
    <xf numFmtId="168" fontId="13" fillId="28" borderId="18" xfId="61" applyFont="1" applyFill="1" applyBorder="1" applyAlignment="1" applyProtection="1">
      <alignment vertical="center"/>
    </xf>
    <xf numFmtId="168" fontId="13" fillId="28" borderId="33" xfId="61" applyFont="1" applyFill="1" applyBorder="1" applyAlignment="1" applyProtection="1">
      <alignment vertical="center"/>
    </xf>
    <xf numFmtId="168" fontId="13" fillId="28" borderId="20" xfId="61" applyFont="1" applyFill="1" applyBorder="1" applyAlignment="1" applyProtection="1">
      <alignment vertical="center"/>
    </xf>
    <xf numFmtId="168" fontId="13" fillId="28" borderId="16" xfId="61" applyFont="1" applyFill="1" applyBorder="1" applyAlignment="1" applyProtection="1">
      <alignment vertical="center"/>
    </xf>
    <xf numFmtId="168" fontId="13" fillId="28" borderId="22" xfId="61" applyFont="1" applyFill="1" applyBorder="1" applyAlignment="1" applyProtection="1">
      <alignment vertical="center"/>
    </xf>
    <xf numFmtId="168" fontId="27" fillId="0" borderId="18" xfId="61" applyFont="1" applyBorder="1" applyAlignment="1" applyProtection="1">
      <alignment horizontal="centerContinuous" vertical="center"/>
    </xf>
    <xf numFmtId="169" fontId="13" fillId="24" borderId="42" xfId="61" applyNumberFormat="1" applyFont="1" applyFill="1" applyBorder="1" applyAlignment="1" applyProtection="1">
      <alignment horizontal="centerContinuous" vertical="center"/>
      <protection locked="0"/>
    </xf>
    <xf numFmtId="169" fontId="13" fillId="24" borderId="31" xfId="61" applyNumberFormat="1" applyFont="1" applyFill="1" applyBorder="1" applyAlignment="1" applyProtection="1">
      <alignment horizontal="centerContinuous" vertical="center"/>
    </xf>
    <xf numFmtId="169" fontId="13" fillId="24" borderId="38" xfId="61" applyNumberFormat="1" applyFont="1" applyFill="1" applyBorder="1" applyAlignment="1" applyProtection="1">
      <alignment horizontal="centerContinuous" vertical="center"/>
      <protection locked="0"/>
    </xf>
    <xf numFmtId="169" fontId="13" fillId="24" borderId="10" xfId="61" applyNumberFormat="1" applyFont="1" applyFill="1" applyBorder="1" applyAlignment="1" applyProtection="1">
      <alignment horizontal="centerContinuous" vertical="center"/>
    </xf>
    <xf numFmtId="168" fontId="27" fillId="0" borderId="22" xfId="61" applyFont="1" applyBorder="1" applyAlignment="1" applyProtection="1">
      <alignment horizontal="centerContinuous" vertical="center"/>
    </xf>
    <xf numFmtId="168" fontId="13" fillId="0" borderId="22" xfId="61" applyFont="1" applyBorder="1" applyAlignment="1" applyProtection="1">
      <alignment horizontal="centerContinuous" vertical="center"/>
    </xf>
    <xf numFmtId="175" fontId="13" fillId="24" borderId="38" xfId="61" applyNumberFormat="1" applyFont="1" applyFill="1" applyBorder="1" applyAlignment="1" applyProtection="1">
      <alignment horizontal="centerContinuous" vertical="center"/>
      <protection locked="0"/>
    </xf>
    <xf numFmtId="175" fontId="13" fillId="24" borderId="10" xfId="61" applyNumberFormat="1" applyFont="1" applyFill="1" applyBorder="1" applyAlignment="1" applyProtection="1">
      <alignment horizontal="centerContinuous" vertical="center"/>
    </xf>
    <xf numFmtId="175" fontId="13" fillId="24" borderId="43" xfId="61" applyNumberFormat="1" applyFont="1" applyFill="1" applyBorder="1" applyAlignment="1" applyProtection="1">
      <alignment horizontal="centerContinuous" vertical="center"/>
      <protection locked="0"/>
    </xf>
    <xf numFmtId="175" fontId="13" fillId="24" borderId="26" xfId="61" applyNumberFormat="1" applyFont="1" applyFill="1" applyBorder="1" applyAlignment="1" applyProtection="1">
      <alignment horizontal="centerContinuous" vertical="center"/>
    </xf>
    <xf numFmtId="165" fontId="13" fillId="0" borderId="18" xfId="61" applyNumberFormat="1" applyFont="1" applyBorder="1" applyAlignment="1" applyProtection="1">
      <alignment horizontal="centerContinuous" vertical="center"/>
    </xf>
    <xf numFmtId="165" fontId="13" fillId="0" borderId="33" xfId="61" applyNumberFormat="1" applyFont="1" applyBorder="1" applyAlignment="1" applyProtection="1">
      <alignment horizontal="centerContinuous" vertical="center"/>
    </xf>
    <xf numFmtId="165" fontId="32" fillId="0" borderId="0" xfId="61" applyNumberFormat="1" applyFont="1" applyBorder="1" applyAlignment="1" applyProtection="1">
      <alignment vertical="center"/>
    </xf>
    <xf numFmtId="165" fontId="13" fillId="0" borderId="20" xfId="61" applyNumberFormat="1" applyFont="1" applyBorder="1" applyAlignment="1" applyProtection="1">
      <alignment horizontal="centerContinuous" vertical="center"/>
    </xf>
    <xf numFmtId="165" fontId="13" fillId="0" borderId="16" xfId="61" applyNumberFormat="1" applyFont="1" applyBorder="1" applyAlignment="1" applyProtection="1">
      <alignment horizontal="centerContinuous" vertical="center"/>
    </xf>
    <xf numFmtId="168" fontId="13" fillId="0" borderId="20" xfId="61" applyFont="1" applyBorder="1" applyAlignment="1" applyProtection="1">
      <alignment horizontal="centerContinuous" vertical="center"/>
    </xf>
    <xf numFmtId="168" fontId="13" fillId="0" borderId="16" xfId="61" applyFont="1" applyBorder="1" applyAlignment="1" applyProtection="1">
      <alignment horizontal="centerContinuous" vertical="center"/>
    </xf>
    <xf numFmtId="178" fontId="13" fillId="0" borderId="11" xfId="61" applyNumberFormat="1" applyFont="1" applyBorder="1" applyAlignment="1" applyProtection="1">
      <alignment vertical="center"/>
    </xf>
    <xf numFmtId="178" fontId="13" fillId="0" borderId="11" xfId="61" applyNumberFormat="1" applyFont="1" applyFill="1" applyBorder="1" applyAlignment="1" applyProtection="1">
      <alignment vertical="center"/>
    </xf>
    <xf numFmtId="178" fontId="13" fillId="0" borderId="27" xfId="61" applyNumberFormat="1" applyFont="1" applyBorder="1" applyAlignment="1" applyProtection="1">
      <alignment vertical="center"/>
    </xf>
    <xf numFmtId="178" fontId="13" fillId="0" borderId="27" xfId="61" applyNumberFormat="1" applyFont="1" applyFill="1" applyBorder="1" applyAlignment="1" applyProtection="1">
      <alignment vertical="center"/>
    </xf>
    <xf numFmtId="179" fontId="13" fillId="0" borderId="11" xfId="61" applyNumberFormat="1" applyFont="1" applyBorder="1" applyAlignment="1" applyProtection="1">
      <alignment vertical="center"/>
    </xf>
    <xf numFmtId="179" fontId="13" fillId="0" borderId="27" xfId="61" applyNumberFormat="1" applyFont="1" applyBorder="1" applyAlignment="1" applyProtection="1">
      <alignment vertical="center"/>
    </xf>
    <xf numFmtId="180" fontId="13" fillId="0" borderId="11" xfId="61" applyNumberFormat="1" applyFont="1" applyBorder="1" applyAlignment="1" applyProtection="1">
      <alignment vertical="center"/>
    </xf>
    <xf numFmtId="181" fontId="27" fillId="0" borderId="21" xfId="61" applyNumberFormat="1" applyFont="1" applyBorder="1" applyAlignment="1" applyProtection="1">
      <alignment horizontal="center" vertical="center"/>
    </xf>
    <xf numFmtId="182" fontId="13" fillId="0" borderId="11" xfId="61" applyNumberFormat="1" applyFont="1" applyBorder="1" applyAlignment="1" applyProtection="1">
      <alignment vertical="center"/>
    </xf>
    <xf numFmtId="182" fontId="13" fillId="0" borderId="27" xfId="61" applyNumberFormat="1" applyFont="1" applyBorder="1" applyAlignment="1" applyProtection="1">
      <alignment vertical="center"/>
    </xf>
    <xf numFmtId="180" fontId="13" fillId="0" borderId="23" xfId="61" applyNumberFormat="1" applyFont="1" applyBorder="1" applyAlignment="1" applyProtection="1">
      <alignment vertical="center"/>
    </xf>
    <xf numFmtId="180" fontId="13" fillId="0" borderId="12" xfId="61" applyNumberFormat="1" applyFont="1" applyBorder="1" applyAlignment="1" applyProtection="1">
      <alignment vertical="center"/>
    </xf>
    <xf numFmtId="180" fontId="13" fillId="0" borderId="27" xfId="61" applyNumberFormat="1" applyFont="1" applyBorder="1" applyAlignment="1" applyProtection="1">
      <alignment vertical="center"/>
    </xf>
    <xf numFmtId="180" fontId="13" fillId="0" borderId="13" xfId="61" applyNumberFormat="1" applyFont="1" applyBorder="1" applyAlignment="1" applyProtection="1">
      <alignment horizontal="right" vertical="center"/>
    </xf>
    <xf numFmtId="180" fontId="13" fillId="0" borderId="10" xfId="61" applyNumberFormat="1" applyFont="1" applyBorder="1" applyAlignment="1" applyProtection="1">
      <alignment vertical="center"/>
    </xf>
    <xf numFmtId="180" fontId="13" fillId="0" borderId="31" xfId="61" applyNumberFormat="1" applyFont="1" applyBorder="1" applyAlignment="1" applyProtection="1">
      <alignment vertical="center"/>
    </xf>
    <xf numFmtId="180" fontId="13" fillId="0" borderId="26" xfId="61" applyNumberFormat="1" applyFont="1" applyBorder="1" applyAlignment="1" applyProtection="1">
      <alignment vertical="center"/>
    </xf>
    <xf numFmtId="183" fontId="13" fillId="0" borderId="13" xfId="61" applyNumberFormat="1" applyFont="1" applyBorder="1" applyAlignment="1" applyProtection="1">
      <alignment vertical="center"/>
    </xf>
    <xf numFmtId="180" fontId="13" fillId="0" borderId="13" xfId="61" applyNumberFormat="1" applyFont="1" applyBorder="1" applyAlignment="1" applyProtection="1">
      <alignment vertical="center"/>
    </xf>
    <xf numFmtId="180" fontId="13" fillId="0" borderId="17" xfId="61" applyNumberFormat="1" applyFont="1" applyBorder="1" applyAlignment="1" applyProtection="1">
      <alignment vertical="center"/>
    </xf>
    <xf numFmtId="180" fontId="13" fillId="0" borderId="19" xfId="61" applyNumberFormat="1" applyFont="1" applyBorder="1" applyAlignment="1" applyProtection="1">
      <alignment vertical="center"/>
    </xf>
    <xf numFmtId="180" fontId="13" fillId="0" borderId="25" xfId="61" applyNumberFormat="1" applyFont="1" applyBorder="1" applyAlignment="1" applyProtection="1">
      <alignment vertical="center"/>
    </xf>
    <xf numFmtId="180" fontId="13" fillId="0" borderId="13" xfId="61" applyNumberFormat="1" applyFont="1" applyBorder="1" applyAlignment="1" applyProtection="1">
      <alignment horizontal="center" vertical="center"/>
    </xf>
    <xf numFmtId="180" fontId="13" fillId="0" borderId="21" xfId="61" applyNumberFormat="1" applyFont="1" applyBorder="1" applyAlignment="1" applyProtection="1">
      <alignment vertical="center"/>
    </xf>
    <xf numFmtId="180" fontId="13" fillId="0" borderId="16" xfId="61" applyNumberFormat="1" applyFont="1" applyBorder="1" applyAlignment="1" applyProtection="1">
      <alignment vertical="center"/>
    </xf>
    <xf numFmtId="180" fontId="13" fillId="0" borderId="69" xfId="61" applyNumberFormat="1" applyFont="1" applyBorder="1" applyAlignment="1" applyProtection="1">
      <alignment vertical="center"/>
    </xf>
    <xf numFmtId="1" fontId="47" fillId="0" borderId="0" xfId="61" applyNumberFormat="1" applyFont="1" applyFill="1" applyBorder="1" applyAlignment="1" applyProtection="1">
      <alignment horizontal="left" vertical="center"/>
    </xf>
    <xf numFmtId="168" fontId="47" fillId="0" borderId="0" xfId="61" applyFont="1" applyAlignment="1" applyProtection="1">
      <alignment vertical="center"/>
    </xf>
    <xf numFmtId="168" fontId="50" fillId="28" borderId="19" xfId="61" applyFont="1" applyFill="1" applyBorder="1" applyAlignment="1" applyProtection="1">
      <alignment vertical="center"/>
    </xf>
    <xf numFmtId="168" fontId="50" fillId="28" borderId="21" xfId="61" applyFont="1" applyFill="1" applyBorder="1" applyAlignment="1" applyProtection="1">
      <alignment vertical="center"/>
    </xf>
    <xf numFmtId="0" fontId="51" fillId="0" borderId="0" xfId="0" applyFont="1" applyFill="1"/>
    <xf numFmtId="0" fontId="51" fillId="0" borderId="0" xfId="0" applyFont="1" applyFill="1" applyBorder="1"/>
    <xf numFmtId="0" fontId="51" fillId="0" borderId="0" xfId="0" applyFont="1" applyBorder="1" applyAlignment="1">
      <alignment vertical="center"/>
    </xf>
    <xf numFmtId="1" fontId="71" fillId="0" borderId="0" xfId="61" applyNumberFormat="1" applyFont="1" applyAlignment="1" applyProtection="1">
      <alignment vertical="center"/>
    </xf>
    <xf numFmtId="164" fontId="13" fillId="0" borderId="56" xfId="61" applyNumberFormat="1" applyFont="1" applyBorder="1" applyAlignment="1" applyProtection="1">
      <alignment horizontal="left" vertical="center"/>
    </xf>
    <xf numFmtId="169" fontId="13" fillId="24" borderId="36" xfId="61" applyNumberFormat="1" applyFont="1" applyFill="1" applyBorder="1" applyAlignment="1" applyProtection="1">
      <alignment horizontal="centerContinuous" vertical="center"/>
      <protection locked="0"/>
    </xf>
    <xf numFmtId="169" fontId="13" fillId="24" borderId="56" xfId="61" applyNumberFormat="1" applyFont="1" applyFill="1" applyBorder="1" applyAlignment="1" applyProtection="1">
      <alignment horizontal="centerContinuous" vertical="center"/>
    </xf>
    <xf numFmtId="1" fontId="72" fillId="0" borderId="0" xfId="61" applyNumberFormat="1" applyFont="1" applyAlignment="1" applyProtection="1">
      <alignment horizontal="right" vertical="center"/>
    </xf>
    <xf numFmtId="1" fontId="73" fillId="0" borderId="0" xfId="61" applyNumberFormat="1" applyFont="1" applyAlignment="1" applyProtection="1">
      <alignment vertical="center"/>
    </xf>
    <xf numFmtId="168" fontId="71" fillId="0" borderId="0" xfId="61" applyFont="1" applyBorder="1" applyAlignment="1" applyProtection="1">
      <alignment vertical="center"/>
    </xf>
    <xf numFmtId="2" fontId="71" fillId="0" borderId="0" xfId="61" applyNumberFormat="1" applyFont="1" applyBorder="1" applyAlignment="1" applyProtection="1">
      <alignment vertical="center"/>
    </xf>
    <xf numFmtId="168" fontId="71" fillId="0" borderId="0" xfId="61" applyFont="1" applyAlignment="1" applyProtection="1">
      <alignment vertical="center"/>
    </xf>
    <xf numFmtId="2" fontId="71" fillId="0" borderId="0" xfId="61" applyNumberFormat="1" applyFont="1" applyAlignment="1" applyProtection="1">
      <alignment vertical="center"/>
    </xf>
    <xf numFmtId="167" fontId="13" fillId="25" borderId="19" xfId="0" applyNumberFormat="1" applyFont="1" applyFill="1" applyBorder="1" applyAlignment="1">
      <alignment horizontal="center" vertical="center"/>
    </xf>
    <xf numFmtId="175" fontId="13" fillId="24" borderId="42" xfId="61" applyNumberFormat="1" applyFont="1" applyFill="1" applyBorder="1" applyAlignment="1" applyProtection="1">
      <alignment horizontal="centerContinuous" vertical="center"/>
      <protection locked="0"/>
    </xf>
    <xf numFmtId="175" fontId="13" fillId="24" borderId="31" xfId="61" applyNumberFormat="1" applyFont="1" applyFill="1" applyBorder="1" applyAlignment="1" applyProtection="1">
      <alignment horizontal="centerContinuous" vertical="center"/>
    </xf>
    <xf numFmtId="169" fontId="13" fillId="29" borderId="10" xfId="61" applyNumberFormat="1" applyFont="1" applyFill="1" applyBorder="1" applyAlignment="1" applyProtection="1">
      <alignment vertical="center"/>
    </xf>
    <xf numFmtId="165" fontId="13" fillId="29" borderId="25" xfId="61" applyNumberFormat="1" applyFont="1" applyFill="1" applyBorder="1" applyAlignment="1" applyProtection="1">
      <alignment vertical="center"/>
    </xf>
    <xf numFmtId="165" fontId="13" fillId="29" borderId="12" xfId="61" applyNumberFormat="1" applyFont="1" applyFill="1" applyBorder="1" applyAlignment="1" applyProtection="1">
      <alignment vertical="center"/>
    </xf>
    <xf numFmtId="2" fontId="13" fillId="29" borderId="23" xfId="61" applyNumberFormat="1" applyFont="1" applyFill="1" applyBorder="1" applyAlignment="1">
      <alignment horizontal="center"/>
    </xf>
    <xf numFmtId="2" fontId="13" fillId="29" borderId="19" xfId="61" applyNumberFormat="1" applyFont="1" applyFill="1" applyBorder="1" applyAlignment="1">
      <alignment horizontal="center"/>
    </xf>
    <xf numFmtId="168" fontId="13" fillId="26" borderId="17" xfId="61" applyNumberFormat="1" applyFont="1" applyFill="1" applyBorder="1" applyAlignment="1">
      <alignment horizontal="center" vertical="center"/>
    </xf>
    <xf numFmtId="168" fontId="13" fillId="26" borderId="19" xfId="0" applyNumberFormat="1" applyFont="1" applyFill="1" applyBorder="1" applyAlignment="1">
      <alignment horizontal="center" vertical="center"/>
    </xf>
    <xf numFmtId="0" fontId="13" fillId="0" borderId="0" xfId="0" applyFont="1"/>
    <xf numFmtId="168" fontId="36" fillId="0" borderId="0" xfId="61" applyFont="1" applyAlignment="1" applyProtection="1">
      <alignment horizontal="left"/>
    </xf>
    <xf numFmtId="168" fontId="13" fillId="0" borderId="0" xfId="61" applyFont="1" applyAlignment="1" applyProtection="1">
      <alignment horizontal="left"/>
    </xf>
    <xf numFmtId="168" fontId="13" fillId="0" borderId="0" xfId="61" applyFont="1" applyAlignment="1" applyProtection="1"/>
    <xf numFmtId="49" fontId="36" fillId="25" borderId="0" xfId="61" applyNumberFormat="1" applyFont="1" applyFill="1" applyBorder="1" applyAlignment="1" applyProtection="1">
      <alignment vertical="center"/>
    </xf>
    <xf numFmtId="49" fontId="36" fillId="25" borderId="0" xfId="61" applyNumberFormat="1" applyFont="1" applyFill="1" applyAlignment="1" applyProtection="1">
      <alignment vertical="center"/>
    </xf>
    <xf numFmtId="0" fontId="13" fillId="0" borderId="42" xfId="61" applyNumberFormat="1" applyFont="1" applyFill="1" applyBorder="1" applyAlignment="1" applyProtection="1">
      <alignment vertical="center"/>
    </xf>
    <xf numFmtId="0" fontId="0" fillId="0" borderId="37" xfId="0" applyFill="1" applyBorder="1" applyAlignment="1" applyProtection="1">
      <alignment vertical="center"/>
    </xf>
    <xf numFmtId="0" fontId="13" fillId="27" borderId="38" xfId="61" applyNumberFormat="1" applyFont="1" applyFill="1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13" fillId="27" borderId="39" xfId="0" applyFont="1" applyFill="1" applyBorder="1" applyAlignment="1" applyProtection="1">
      <alignment horizontal="left"/>
      <protection locked="0"/>
    </xf>
    <xf numFmtId="174" fontId="13" fillId="27" borderId="39" xfId="0" applyNumberFormat="1" applyFont="1" applyFill="1" applyBorder="1" applyAlignment="1" applyProtection="1">
      <alignment horizontal="left"/>
      <protection locked="0"/>
    </xf>
    <xf numFmtId="0" fontId="13" fillId="27" borderId="43" xfId="61" applyNumberFormat="1" applyFont="1" applyFill="1" applyBorder="1" applyAlignment="1" applyProtection="1">
      <alignment vertical="center"/>
      <protection locked="0"/>
    </xf>
    <xf numFmtId="0" fontId="0" fillId="0" borderId="44" xfId="0" applyBorder="1" applyAlignment="1">
      <alignment vertical="center"/>
    </xf>
    <xf numFmtId="0" fontId="13" fillId="0" borderId="38" xfId="61" applyNumberFormat="1" applyFont="1" applyFill="1" applyBorder="1" applyAlignment="1" applyProtection="1">
      <alignment vertical="center"/>
    </xf>
    <xf numFmtId="0" fontId="0" fillId="0" borderId="39" xfId="0" applyFill="1" applyBorder="1" applyAlignment="1" applyProtection="1">
      <alignment vertical="center"/>
    </xf>
    <xf numFmtId="168" fontId="27" fillId="0" borderId="18" xfId="61" applyFont="1" applyBorder="1" applyAlignment="1">
      <alignment horizontal="center"/>
    </xf>
    <xf numFmtId="168" fontId="27" fillId="0" borderId="33" xfId="61" applyFont="1" applyBorder="1" applyAlignment="1">
      <alignment horizontal="center"/>
    </xf>
    <xf numFmtId="168" fontId="27" fillId="0" borderId="20" xfId="61" applyFont="1" applyBorder="1" applyAlignment="1">
      <alignment horizontal="center"/>
    </xf>
    <xf numFmtId="168" fontId="13" fillId="0" borderId="16" xfId="61" applyFont="1" applyBorder="1" applyAlignment="1">
      <alignment horizontal="center"/>
    </xf>
  </cellXfs>
  <cellStyles count="71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 % - Accent1" xfId="13"/>
    <cellStyle name="40 % - Accent2" xfId="14"/>
    <cellStyle name="40 % - Accent3" xfId="15"/>
    <cellStyle name="40 % - Accent4" xfId="16"/>
    <cellStyle name="40 % - Accent5" xfId="17"/>
    <cellStyle name="40 % - Accent6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 % - Accent1" xfId="25"/>
    <cellStyle name="60 % - Accent2" xfId="26"/>
    <cellStyle name="60 % - Accent3" xfId="27"/>
    <cellStyle name="60 % - Accent4" xfId="28"/>
    <cellStyle name="60 % - Accent5" xfId="29"/>
    <cellStyle name="60 % - Accent6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Calcul" xfId="44"/>
    <cellStyle name="Cellule liée" xfId="45"/>
    <cellStyle name="Collegamento ipertestuale" xfId="54" builtinId="8"/>
    <cellStyle name="Commentaire" xfId="46"/>
    <cellStyle name="dbkatalog" xfId="47"/>
    <cellStyle name="DB-Katalog" xfId="48"/>
    <cellStyle name="Entrée" xfId="49"/>
    <cellStyle name="Insatisfaisant" xfId="50"/>
    <cellStyle name="Lien hypertexte" xfId="51"/>
    <cellStyle name="Lien hypertexte visité" xfId="52"/>
    <cellStyle name="Lien hypertexte_Texte" xfId="53"/>
    <cellStyle name="Neutre" xfId="55"/>
    <cellStyle name="Normal 2" xfId="56"/>
    <cellStyle name="Normal 3" xfId="57"/>
    <cellStyle name="Normal_AAdossier03" xfId="58"/>
    <cellStyle name="Normale" xfId="0" builtinId="0"/>
    <cellStyle name="Satisfaisant" xfId="59"/>
    <cellStyle name="Sortie" xfId="60"/>
    <cellStyle name="Standard_Suisse-Bilanz 20131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itre_Texte" xfId="68"/>
    <cellStyle name="Total" xfId="69"/>
    <cellStyle name="Vérification" xfId="70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5440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48</xdr:row>
      <xdr:rowOff>28575</xdr:rowOff>
    </xdr:from>
    <xdr:to>
      <xdr:col>22</xdr:col>
      <xdr:colOff>133350</xdr:colOff>
      <xdr:row>93</xdr:row>
      <xdr:rowOff>123825</xdr:rowOff>
    </xdr:to>
    <xdr:pic>
      <xdr:nvPicPr>
        <xdr:cNvPr id="5441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8134350"/>
          <a:ext cx="5638800" cy="7381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28575</xdr:colOff>
      <xdr:row>48</xdr:row>
      <xdr:rowOff>38100</xdr:rowOff>
    </xdr:from>
    <xdr:to>
      <xdr:col>22</xdr:col>
      <xdr:colOff>390525</xdr:colOff>
      <xdr:row>94</xdr:row>
      <xdr:rowOff>142875</xdr:rowOff>
    </xdr:to>
    <xdr:pic>
      <xdr:nvPicPr>
        <xdr:cNvPr id="544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8143875"/>
          <a:ext cx="5838825" cy="7553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742950</xdr:colOff>
      <xdr:row>0</xdr:row>
      <xdr:rowOff>28575</xdr:rowOff>
    </xdr:from>
    <xdr:to>
      <xdr:col>24</xdr:col>
      <xdr:colOff>76200</xdr:colOff>
      <xdr:row>48</xdr:row>
      <xdr:rowOff>85725</xdr:rowOff>
    </xdr:to>
    <xdr:pic>
      <xdr:nvPicPr>
        <xdr:cNvPr id="544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"/>
        <a:stretch>
          <a:fillRect/>
        </a:stretch>
      </xdr:blipFill>
      <xdr:spPr bwMode="auto">
        <a:xfrm>
          <a:off x="6048375" y="28575"/>
          <a:ext cx="6762750" cy="816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24</xdr:col>
      <xdr:colOff>228600</xdr:colOff>
      <xdr:row>48</xdr:row>
      <xdr:rowOff>57150</xdr:rowOff>
    </xdr:to>
    <xdr:pic>
      <xdr:nvPicPr>
        <xdr:cNvPr id="544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3" b="1300"/>
        <a:stretch>
          <a:fillRect/>
        </a:stretch>
      </xdr:blipFill>
      <xdr:spPr bwMode="auto">
        <a:xfrm>
          <a:off x="6057900" y="9525"/>
          <a:ext cx="6905625" cy="815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342899</xdr:colOff>
      <xdr:row>145</xdr:row>
      <xdr:rowOff>123825</xdr:rowOff>
    </xdr:from>
    <xdr:ext cx="66675" cy="264560"/>
    <xdr:sp macro="" textlink="">
      <xdr:nvSpPr>
        <xdr:cNvPr id="4" name="ZoneTexte 3"/>
        <xdr:cNvSpPr txBox="1"/>
      </xdr:nvSpPr>
      <xdr:spPr>
        <a:xfrm>
          <a:off x="13830299" y="23736300"/>
          <a:ext cx="6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CH"/>
        </a:p>
      </xdr:txBody>
    </xdr:sp>
    <xdr:clientData/>
  </xdr:oneCellAnchor>
  <xdr:twoCellAnchor editAs="absolute">
    <xdr:from>
      <xdr:col>13</xdr:col>
      <xdr:colOff>447675</xdr:colOff>
      <xdr:row>91</xdr:row>
      <xdr:rowOff>104775</xdr:rowOff>
    </xdr:from>
    <xdr:to>
      <xdr:col>18</xdr:col>
      <xdr:colOff>619125</xdr:colOff>
      <xdr:row>183</xdr:row>
      <xdr:rowOff>123825</xdr:rowOff>
    </xdr:to>
    <xdr:sp macro="" textlink="">
      <xdr:nvSpPr>
        <xdr:cNvPr id="3742" name="recVorhang"/>
        <xdr:cNvSpPr>
          <a:spLocks noChangeArrowheads="1"/>
        </xdr:cNvSpPr>
      </xdr:nvSpPr>
      <xdr:spPr bwMode="auto">
        <a:xfrm>
          <a:off x="7934325" y="15382875"/>
          <a:ext cx="3952875" cy="14373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3743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7221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83"/>
  <sheetViews>
    <sheetView showGridLines="0" showRowColHeaders="0" showZeros="0" zoomScaleNormal="100" workbookViewId="0">
      <selection activeCell="C9" sqref="C9"/>
    </sheetView>
  </sheetViews>
  <sheetFormatPr defaultColWidth="11.42578125" defaultRowHeight="12.75" outlineLevelRow="4"/>
  <cols>
    <col min="1" max="1" width="1.7109375" style="124" customWidth="1"/>
    <col min="2" max="2" width="22.85546875" style="124" customWidth="1"/>
    <col min="3" max="3" width="14.5703125" style="124" customWidth="1"/>
    <col min="4" max="4" width="29.28515625" style="124" customWidth="1"/>
    <col min="5" max="5" width="6.85546875" style="124" customWidth="1"/>
    <col min="6" max="6" width="4.28515625" style="124" customWidth="1"/>
    <col min="7" max="7" width="11.28515625" style="124" customWidth="1"/>
    <col min="8" max="8" width="0.85546875" style="124" customWidth="1"/>
    <col min="9" max="9" width="6.85546875" style="124" hidden="1" customWidth="1"/>
    <col min="10" max="15" width="0" style="124" hidden="1" customWidth="1"/>
    <col min="16" max="21" width="11.42578125" style="124"/>
    <col min="22" max="22" width="13.5703125" style="124" customWidth="1"/>
    <col min="23" max="23" width="11.42578125" style="124"/>
    <col min="24" max="24" width="5.7109375" style="124" customWidth="1"/>
    <col min="25" max="16384" width="11.42578125" style="124"/>
  </cols>
  <sheetData>
    <row r="1" spans="1:15" ht="21" customHeight="1">
      <c r="G1" s="88" t="str">
        <f>Texte!A6</f>
        <v>Versione: 1.5</v>
      </c>
      <c r="L1" s="423" t="s">
        <v>672</v>
      </c>
    </row>
    <row r="2" spans="1:15" ht="21" customHeight="1">
      <c r="A2" s="8"/>
      <c r="B2" s="7"/>
      <c r="C2" s="125" t="str">
        <f>Texte!A4</f>
        <v>Guida</v>
      </c>
      <c r="G2" s="87" t="str">
        <f>Texte!A5</f>
        <v>PLCSI</v>
      </c>
      <c r="H2" s="8"/>
    </row>
    <row r="3" spans="1:15" ht="7.5" customHeight="1" thickBot="1">
      <c r="A3" s="8"/>
      <c r="B3" s="9"/>
      <c r="C3" s="9"/>
      <c r="D3" s="9"/>
      <c r="E3" s="9"/>
      <c r="F3" s="9"/>
      <c r="G3" s="9"/>
      <c r="H3" s="8"/>
    </row>
    <row r="4" spans="1:15">
      <c r="A4" s="8"/>
      <c r="B4" s="8"/>
      <c r="C4" s="8"/>
      <c r="D4" s="8"/>
      <c r="E4" s="8"/>
      <c r="F4" s="8"/>
      <c r="G4" s="8"/>
      <c r="H4" s="8"/>
    </row>
    <row r="5" spans="1:15">
      <c r="A5" s="8"/>
      <c r="B5" s="8" t="s">
        <v>161</v>
      </c>
      <c r="C5" s="8"/>
      <c r="D5" s="8"/>
      <c r="E5" s="8"/>
      <c r="F5" s="8"/>
      <c r="G5" s="8"/>
      <c r="H5" s="8"/>
      <c r="I5" s="8"/>
    </row>
    <row r="6" spans="1:15" ht="12.75" customHeight="1">
      <c r="A6" s="8"/>
      <c r="B6" s="8" t="s">
        <v>163</v>
      </c>
      <c r="D6" s="10"/>
      <c r="E6" s="10"/>
      <c r="F6" s="10"/>
      <c r="G6" s="11"/>
      <c r="H6" s="12"/>
      <c r="N6" s="126" t="s">
        <v>433</v>
      </c>
      <c r="O6" s="126"/>
    </row>
    <row r="7" spans="1:15" ht="12.75" customHeight="1">
      <c r="A7" s="8"/>
      <c r="B7" s="8" t="s">
        <v>162</v>
      </c>
      <c r="D7" s="10"/>
      <c r="E7" s="10"/>
      <c r="F7" s="10"/>
      <c r="G7" s="11"/>
      <c r="H7" s="12"/>
      <c r="N7" s="126"/>
      <c r="O7" s="126"/>
    </row>
    <row r="8" spans="1:15" ht="10.5" customHeight="1">
      <c r="A8" s="8"/>
      <c r="B8" s="8"/>
      <c r="C8" s="8"/>
      <c r="D8" s="8"/>
      <c r="E8" s="8"/>
      <c r="F8" s="8"/>
      <c r="G8" s="8"/>
      <c r="H8" s="8"/>
      <c r="N8" s="126"/>
      <c r="O8" s="126"/>
    </row>
    <row r="9" spans="1:15" ht="18.75">
      <c r="A9" s="8"/>
      <c r="B9" s="62" t="str">
        <f>Texte!A9</f>
        <v>Lingua:</v>
      </c>
      <c r="C9" s="414" t="s">
        <v>432</v>
      </c>
      <c r="F9" s="8"/>
      <c r="G9" s="11"/>
      <c r="H9" s="12"/>
      <c r="N9" s="126" t="s">
        <v>430</v>
      </c>
      <c r="O9" s="126">
        <v>1</v>
      </c>
    </row>
    <row r="10" spans="1:15" ht="18.75">
      <c r="A10" s="8"/>
      <c r="B10" s="8"/>
      <c r="C10" s="8"/>
      <c r="D10" s="8"/>
      <c r="E10" s="8"/>
      <c r="F10" s="8"/>
      <c r="G10" s="11"/>
      <c r="H10" s="12"/>
      <c r="N10" s="126" t="s">
        <v>431</v>
      </c>
      <c r="O10" s="126">
        <v>2</v>
      </c>
    </row>
    <row r="11" spans="1:15" ht="15.75">
      <c r="B11" s="127" t="str">
        <f>Texte!A10</f>
        <v>Guida</v>
      </c>
      <c r="C11" s="127"/>
      <c r="N11" s="126" t="s">
        <v>432</v>
      </c>
      <c r="O11" s="126">
        <v>3</v>
      </c>
    </row>
    <row r="12" spans="1:15">
      <c r="B12" s="65" t="str">
        <f>Texte!A11</f>
        <v>Celle verdi:</v>
      </c>
      <c r="C12" s="124" t="str">
        <f>Texte!A14</f>
        <v>Menu di scelta</v>
      </c>
    </row>
    <row r="13" spans="1:15">
      <c r="B13" s="66" t="str">
        <f>Texte!A12</f>
        <v>Celle gialle:</v>
      </c>
      <c r="C13" s="124" t="str">
        <f>Texte!A15</f>
        <v>All'inserimento dei dati</v>
      </c>
    </row>
    <row r="14" spans="1:15">
      <c r="B14" s="67" t="str">
        <f>Texte!A13</f>
        <v>Celle bianche:</v>
      </c>
      <c r="C14" s="124" t="str">
        <f>Texte!A16</f>
        <v>Celle bloccate</v>
      </c>
    </row>
    <row r="16" spans="1:15" ht="15.75">
      <c r="B16" s="127" t="str">
        <f>Texte!A17</f>
        <v>Procedura:</v>
      </c>
      <c r="C16" s="127"/>
    </row>
    <row r="17" spans="2:7" ht="18" customHeight="1">
      <c r="B17" s="145" t="str">
        <f>Texte!A18</f>
        <v>Principio: deve esserci concordanza con Suisse Bilanz</v>
      </c>
      <c r="C17" s="128"/>
    </row>
    <row r="18" spans="2:7" ht="6.75" customHeight="1"/>
    <row r="19" spans="2:7">
      <c r="B19" s="143" t="str">
        <f>Texte!A19</f>
        <v>1. Inserire i dati aziendali, in particolare la regione</v>
      </c>
    </row>
    <row r="20" spans="2:7">
      <c r="B20" s="143" t="str">
        <f>Texte!A20</f>
        <v>2. Parte A: consumo di foraggio di base e concentrato (fabbisogno)</v>
      </c>
    </row>
    <row r="21" spans="2:7">
      <c r="B21" s="490" t="str">
        <f>Texte!A21</f>
        <v xml:space="preserve">    - Inserire tutti gli animali che consumano foraggio</v>
      </c>
    </row>
    <row r="22" spans="2:7">
      <c r="B22" s="490" t="str">
        <f>Texte!A22</f>
        <v xml:space="preserve">    - Inserire il consumo totale dei concentrati per categoria di animale</v>
      </c>
    </row>
    <row r="23" spans="2:7">
      <c r="B23" s="490" t="str">
        <f>Texte!A23</f>
        <v xml:space="preserve">      consumati dall'azienda all'anno (senza estivazione).</v>
      </c>
    </row>
    <row r="24" spans="2:7">
      <c r="B24" s="490" t="str">
        <f>Texte!A24</f>
        <v xml:space="preserve">    - Estivazione: riguardo al numero di animali, bisogna inserire i  </v>
      </c>
    </row>
    <row r="25" spans="2:7">
      <c r="B25" s="490" t="str">
        <f>Texte!A25</f>
        <v xml:space="preserve">      dati sul numero di animali estivati (in negativo) e sul numero di giorni di estivazione.</v>
      </c>
    </row>
    <row r="26" spans="2:7">
      <c r="B26" s="490" t="str">
        <f>Texte!A26</f>
        <v xml:space="preserve">    - Se i dati dell'estivazione sono registrati, è necessario dichiarare la quantità di</v>
      </c>
    </row>
    <row r="27" spans="2:7">
      <c r="B27" s="490" t="str">
        <f>Texte!A27</f>
        <v xml:space="preserve">       forragio concentrato nel piano di foraggio.</v>
      </c>
      <c r="G27" s="583"/>
    </row>
    <row r="28" spans="2:7">
      <c r="B28" s="490" t="str">
        <f>Texte!A28</f>
        <v xml:space="preserve">    - L'afforaggiamento di alimenti complementari durante l'estivazione è autorizzato solo per gli animali</v>
      </c>
      <c r="G28" s="583"/>
    </row>
    <row r="29" spans="2:7">
      <c r="B29" s="490" t="str">
        <f>Texte!A29</f>
        <v xml:space="preserve">      munti delle seguenti categorie: vacche da latte, capre e pecore. Quantità max 1 kg/vacche/d, 0.25 kg/capre, 0.2/pecore/d </v>
      </c>
      <c r="G29" s="583"/>
    </row>
    <row r="30" spans="2:7">
      <c r="B30" s="490" t="str">
        <f>Texte!A30</f>
        <v xml:space="preserve">    - Le definizioni contenute nell'allegato 5 dell'OPD sono anche valide per  </v>
      </c>
    </row>
    <row r="31" spans="2:7">
      <c r="B31" s="490" t="str">
        <f>Texte!A31</f>
        <v xml:space="preserve">      gli alimenti di base e quelli complementari somministrati durante l'estivazione. </v>
      </c>
    </row>
    <row r="32" spans="2:7">
      <c r="B32" s="143" t="str">
        <f>Texte!A32</f>
        <v>3. Parte B: Produzione di foraggio di base</v>
      </c>
    </row>
    <row r="33" spans="2:2">
      <c r="B33" s="490" t="str">
        <f>Texte!A33</f>
        <v xml:space="preserve">    - registrare superfici e rese </v>
      </c>
    </row>
    <row r="34" spans="2:2">
      <c r="B34" s="490" t="str">
        <f>Texte!A34</f>
        <v xml:space="preserve">    - Per prati e pascoli vigono valori massimi</v>
      </c>
    </row>
    <row r="35" spans="2:2">
      <c r="B35" s="490" t="str">
        <f>Texte!A35</f>
        <v xml:space="preserve">    - Elevate rese sono possibili solo con una perizia sulla resa</v>
      </c>
    </row>
    <row r="36" spans="2:2">
      <c r="B36" s="490" t="str">
        <f>Texte!A36</f>
        <v xml:space="preserve">    - Rese di colture intercalari max. 25 q SS</v>
      </c>
    </row>
    <row r="37" spans="2:2">
      <c r="B37" s="143" t="str">
        <f>Texte!A41</f>
        <v>4. Parte C: Registrare ritiri e cessioni di foraggi di base</v>
      </c>
    </row>
    <row r="38" spans="2:2">
      <c r="B38" s="490" t="str">
        <f>Texte!A42</f>
        <v xml:space="preserve">    - Scegliere il codice acquisto o vendita</v>
      </c>
    </row>
    <row r="39" spans="2:2">
      <c r="B39" s="490" t="str">
        <f>Texte!A43</f>
        <v xml:space="preserve">    - Attenzione: Il bilancio del foraggio di base deve essere equilibrato: confronto tra</v>
      </c>
    </row>
    <row r="40" spans="2:2">
      <c r="B40" s="490" t="str">
        <f>Texte!A44</f>
        <v xml:space="preserve">      "B1: produzione totale foraggio di base" e "Totale foraggio di base da produrre sulla superficie </v>
      </c>
    </row>
    <row r="41" spans="2:2">
      <c r="B41" s="490" t="str">
        <f>Texte!A45</f>
        <v xml:space="preserve">      foraggera (FB prod)"</v>
      </c>
    </row>
    <row r="42" spans="2:2">
      <c r="B42" s="143" t="str">
        <f>Texte!A46</f>
        <v xml:space="preserve">5. Parte D: Il bilancio </v>
      </c>
    </row>
    <row r="43" spans="2:2">
      <c r="B43" s="490" t="str">
        <f>Texte!A47</f>
        <v xml:space="preserve">    - Il bilancio indica, in base alle regioni,</v>
      </c>
    </row>
    <row r="44" spans="2:2">
      <c r="B44" s="490" t="str">
        <f>Texte!A48</f>
        <v xml:space="preserve">      se le razioni minime sono rispettate oppure no. </v>
      </c>
    </row>
    <row r="45" spans="2:2">
      <c r="B45" s="491" t="str">
        <f>Texte!A49</f>
        <v xml:space="preserve">      Verde=rispettato</v>
      </c>
    </row>
    <row r="46" spans="2:2">
      <c r="B46" s="492" t="str">
        <f>Texte!A50</f>
        <v xml:space="preserve">      Rosso=non rispettato</v>
      </c>
    </row>
    <row r="47" spans="2:2">
      <c r="B47" s="143"/>
    </row>
    <row r="48" spans="2:2">
      <c r="B48" s="143"/>
    </row>
    <row r="49" spans="2:2">
      <c r="B49" s="146"/>
    </row>
    <row r="50" spans="2:2">
      <c r="B50" s="146"/>
    </row>
    <row r="51" spans="2:2">
      <c r="B51" s="146"/>
    </row>
    <row r="52" spans="2:2">
      <c r="B52" s="146"/>
    </row>
    <row r="81" outlineLevel="4" collapsed="1"/>
    <row r="83" outlineLevel="3"/>
  </sheetData>
  <sheetProtection password="98F7" sheet="1" objects="1" scenarios="1"/>
  <phoneticPr fontId="2" type="noConversion"/>
  <dataValidations count="1">
    <dataValidation type="list" allowBlank="1" showInputMessage="1" showErrorMessage="1" sqref="C9">
      <formula1>$N$9:$N$11</formula1>
    </dataValidation>
  </dataValidations>
  <pageMargins left="0.78740157499999996" right="0.54" top="0.7" bottom="0.62" header="0.37" footer="0.32"/>
  <pageSetup paperSize="9" scale="90" orientation="portrait" r:id="rId1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23" man="1"/>
  </rowBreaks>
  <colBreaks count="1" manualBreakCount="1">
    <brk id="7" max="9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Tabelle3"/>
  <dimension ref="A1:AY433"/>
  <sheetViews>
    <sheetView showGridLines="0" showRowColHeaders="0" tabSelected="1" zoomScaleNormal="100" workbookViewId="0"/>
  </sheetViews>
  <sheetFormatPr defaultColWidth="12.140625" defaultRowHeight="12.75"/>
  <cols>
    <col min="1" max="1" width="1.7109375" style="149" customWidth="1"/>
    <col min="2" max="2" width="18.140625" style="149" customWidth="1"/>
    <col min="3" max="3" width="10.28515625" style="149" customWidth="1"/>
    <col min="4" max="4" width="3" style="149" customWidth="1"/>
    <col min="5" max="5" width="6.7109375" style="149" customWidth="1"/>
    <col min="6" max="7" width="7.42578125" style="149" customWidth="1"/>
    <col min="8" max="8" width="8.42578125" style="149" customWidth="1"/>
    <col min="9" max="9" width="7.28515625" style="149" customWidth="1"/>
    <col min="10" max="11" width="9.28515625" style="149" customWidth="1"/>
    <col min="12" max="12" width="8.5703125" style="149" customWidth="1"/>
    <col min="13" max="13" width="14.7109375" style="149" customWidth="1"/>
    <col min="14" max="14" width="7.28515625" style="149" customWidth="1"/>
    <col min="15" max="15" width="8.85546875" style="149" customWidth="1"/>
    <col min="16" max="16" width="14.7109375" style="149" customWidth="1"/>
    <col min="17" max="17" width="14.28515625" style="149" customWidth="1"/>
    <col min="18" max="18" width="11.5703125" style="149" customWidth="1"/>
    <col min="19" max="19" width="11" style="149" customWidth="1"/>
    <col min="20" max="20" width="15.140625" style="149" hidden="1" customWidth="1"/>
    <col min="21" max="21" width="7.140625" style="149" hidden="1" customWidth="1"/>
    <col min="22" max="22" width="17.5703125" style="149" hidden="1" customWidth="1"/>
    <col min="23" max="23" width="28.7109375" style="149" hidden="1" customWidth="1"/>
    <col min="24" max="25" width="6.28515625" style="149" hidden="1" customWidth="1"/>
    <col min="26" max="26" width="5.85546875" style="149" hidden="1" customWidth="1"/>
    <col min="27" max="27" width="19.140625" style="150" hidden="1" customWidth="1"/>
    <col min="28" max="28" width="8.85546875" style="150" hidden="1" customWidth="1"/>
    <col min="29" max="29" width="3.42578125" style="150" hidden="1" customWidth="1"/>
    <col min="30" max="30" width="8.7109375" style="151" hidden="1" customWidth="1"/>
    <col min="31" max="31" width="12" style="150" hidden="1" customWidth="1"/>
    <col min="32" max="32" width="9.42578125" style="150" hidden="1" customWidth="1"/>
    <col min="33" max="33" width="8" style="149" customWidth="1"/>
    <col min="34" max="36" width="8.7109375" style="152" customWidth="1"/>
    <col min="37" max="37" width="8.7109375" style="149" customWidth="1"/>
    <col min="38" max="40" width="6.42578125" style="149" customWidth="1"/>
    <col min="41" max="16384" width="12.140625" style="149"/>
  </cols>
  <sheetData>
    <row r="1" spans="1:46" ht="9" customHeight="1">
      <c r="Z1" s="150"/>
      <c r="AC1" s="151"/>
      <c r="AD1" s="150"/>
      <c r="AF1" s="149"/>
      <c r="AG1" s="152"/>
      <c r="AJ1" s="149"/>
    </row>
    <row r="2" spans="1:46" ht="21" customHeight="1">
      <c r="A2" s="153"/>
      <c r="D2" s="154" t="str">
        <f>Texte!A53</f>
        <v>Bilancio foraggero per la produzione di latte e carne</v>
      </c>
      <c r="L2" s="155"/>
      <c r="P2" s="156"/>
      <c r="Q2" s="156"/>
      <c r="R2" s="156" t="str">
        <f>Texte!A5</f>
        <v>PLCSI</v>
      </c>
      <c r="T2" s="289"/>
      <c r="U2" s="171" t="s">
        <v>1097</v>
      </c>
      <c r="W2" s="171" t="s">
        <v>765</v>
      </c>
      <c r="X2" s="171" t="s">
        <v>1081</v>
      </c>
      <c r="Z2" s="150"/>
      <c r="AA2" s="157"/>
      <c r="AB2" s="157"/>
      <c r="AC2" s="157"/>
      <c r="AD2" s="157"/>
      <c r="AE2" s="157"/>
      <c r="AF2" s="157"/>
      <c r="AG2" s="152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</row>
    <row r="3" spans="1:46" ht="21" customHeight="1">
      <c r="A3" s="153"/>
      <c r="D3" s="154" t="str">
        <f>Texte!A54</f>
        <v>basata sulla superficie inerbita</v>
      </c>
      <c r="L3" s="155"/>
      <c r="N3" s="159"/>
      <c r="P3" s="475"/>
      <c r="Q3" s="475"/>
      <c r="R3" s="475" t="str">
        <f>Texte!A6</f>
        <v>Versione: 1.5</v>
      </c>
      <c r="T3" s="289"/>
      <c r="U3" s="157"/>
      <c r="W3" s="171" t="s">
        <v>766</v>
      </c>
      <c r="X3" s="171"/>
      <c r="Z3" s="150"/>
      <c r="AA3" s="157"/>
      <c r="AB3" s="157"/>
      <c r="AC3" s="157"/>
      <c r="AD3" s="157"/>
      <c r="AE3" s="157"/>
      <c r="AF3" s="157"/>
      <c r="AG3" s="152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</row>
    <row r="4" spans="1:46" ht="9.75" customHeight="1">
      <c r="B4" s="155"/>
      <c r="C4" s="155"/>
      <c r="E4" s="155"/>
      <c r="F4" s="155"/>
      <c r="G4" s="155"/>
      <c r="H4" s="155"/>
      <c r="I4" s="155"/>
      <c r="J4" s="155"/>
      <c r="K4" s="155"/>
      <c r="L4" s="155"/>
      <c r="P4" s="473"/>
      <c r="Q4" s="473"/>
      <c r="R4" s="473" t="str">
        <f>Texte!A7</f>
        <v>rispettivo Suisse-Bilanz Versione 1.14</v>
      </c>
      <c r="T4" s="415"/>
      <c r="U4" s="157"/>
      <c r="V4" s="157"/>
      <c r="X4" s="157"/>
      <c r="Z4" s="150"/>
      <c r="AA4" s="157"/>
      <c r="AB4" s="157"/>
      <c r="AC4" s="157"/>
      <c r="AD4" s="157"/>
      <c r="AE4" s="157"/>
      <c r="AF4" s="160"/>
      <c r="AG4" s="152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</row>
    <row r="5" spans="1:46" ht="3" customHeight="1" thickBot="1">
      <c r="B5" s="161"/>
      <c r="C5" s="161"/>
      <c r="D5" s="162"/>
      <c r="E5" s="161"/>
      <c r="F5" s="163"/>
      <c r="G5" s="163"/>
      <c r="H5" s="163"/>
      <c r="I5" s="164"/>
      <c r="J5" s="162"/>
      <c r="K5" s="162"/>
      <c r="L5" s="162"/>
      <c r="M5" s="162"/>
      <c r="N5" s="162"/>
      <c r="O5" s="162"/>
      <c r="P5" s="162"/>
      <c r="Q5" s="162"/>
      <c r="R5" s="162"/>
      <c r="T5" s="157"/>
      <c r="U5" s="157"/>
      <c r="V5" s="157"/>
      <c r="W5" s="157"/>
      <c r="X5" s="157"/>
      <c r="Z5" s="150"/>
      <c r="AA5" s="157"/>
      <c r="AB5" s="157"/>
      <c r="AC5" s="157"/>
      <c r="AD5" s="157"/>
      <c r="AE5" s="157"/>
      <c r="AF5" s="165"/>
      <c r="AG5" s="152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</row>
    <row r="6" spans="1:46" ht="12.75" customHeight="1">
      <c r="B6" s="154"/>
      <c r="C6" s="154"/>
      <c r="E6" s="154"/>
      <c r="F6" s="166"/>
      <c r="G6" s="166"/>
      <c r="H6" s="166"/>
      <c r="I6" s="167"/>
      <c r="J6" s="155"/>
      <c r="M6" s="168"/>
      <c r="N6" s="168"/>
      <c r="O6" s="168"/>
      <c r="P6" s="168"/>
      <c r="Q6" s="168"/>
      <c r="R6" s="168"/>
      <c r="S6" s="157"/>
      <c r="T6" s="157"/>
      <c r="U6" s="468" t="s">
        <v>1105</v>
      </c>
      <c r="V6" s="157"/>
      <c r="W6" s="157"/>
      <c r="X6" s="157"/>
      <c r="Z6" s="150"/>
      <c r="AA6" s="157"/>
      <c r="AB6" s="157"/>
      <c r="AC6" s="157"/>
      <c r="AD6" s="157"/>
      <c r="AE6" s="157"/>
      <c r="AF6" s="165"/>
      <c r="AG6" s="152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</row>
    <row r="7" spans="1:46" ht="15" customHeight="1">
      <c r="B7" s="85" t="str">
        <f>Texte!A55</f>
        <v>Numero aziendale</v>
      </c>
      <c r="C7" s="79"/>
      <c r="D7" s="80"/>
      <c r="E7" s="80"/>
      <c r="F7" s="80"/>
      <c r="G7" s="80"/>
      <c r="H7" s="80"/>
      <c r="I7" s="80"/>
      <c r="M7" s="107" t="str">
        <f>Texte!A56</f>
        <v>Anno del raccolto</v>
      </c>
      <c r="N7" s="81"/>
      <c r="O7" s="80"/>
      <c r="P7" s="80"/>
      <c r="Q7" s="80"/>
      <c r="R7" s="80"/>
      <c r="S7" s="157"/>
      <c r="T7" s="157"/>
      <c r="U7" s="468" t="s">
        <v>1080</v>
      </c>
      <c r="V7" s="157"/>
      <c r="W7" s="157"/>
      <c r="X7" s="468" t="s">
        <v>381</v>
      </c>
      <c r="Z7" s="150"/>
      <c r="AA7" s="468" t="s">
        <v>383</v>
      </c>
      <c r="AB7" s="157"/>
      <c r="AC7" s="157"/>
      <c r="AD7" s="157"/>
      <c r="AE7" s="157"/>
      <c r="AF7" s="160"/>
      <c r="AG7" s="152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</row>
    <row r="8" spans="1:46" ht="15" customHeight="1">
      <c r="B8" s="78" t="str">
        <f>Texte!A57</f>
        <v>Cognome / nome</v>
      </c>
      <c r="C8" s="79"/>
      <c r="D8" s="80"/>
      <c r="E8" s="80"/>
      <c r="F8" s="80"/>
      <c r="G8" s="80"/>
      <c r="H8" s="80"/>
      <c r="I8" s="80"/>
      <c r="M8" s="107" t="str">
        <f>Texte!A58</f>
        <v>Opzione</v>
      </c>
      <c r="N8" s="81"/>
      <c r="O8" s="80"/>
      <c r="P8" s="80"/>
      <c r="Q8" s="80"/>
      <c r="R8" s="80"/>
      <c r="S8" s="157"/>
      <c r="T8" s="157"/>
      <c r="U8" s="157"/>
      <c r="V8" s="157"/>
      <c r="W8" s="157"/>
      <c r="X8" s="131"/>
      <c r="Y8" s="124"/>
      <c r="Z8" s="124"/>
      <c r="AA8" s="131"/>
      <c r="AB8" s="157"/>
      <c r="AC8" s="157"/>
      <c r="AD8" s="157"/>
      <c r="AE8" s="157"/>
      <c r="AF8" s="157"/>
      <c r="AG8" s="152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</row>
    <row r="9" spans="1:46" ht="15" customHeight="1">
      <c r="M9" s="169"/>
      <c r="Q9" s="157"/>
      <c r="R9" s="157"/>
      <c r="S9" s="157"/>
      <c r="T9" s="157"/>
      <c r="U9" s="131" t="str">
        <f>Texte!A68</f>
        <v>regione di pianura</v>
      </c>
      <c r="V9" s="170">
        <v>1</v>
      </c>
      <c r="W9" s="171"/>
      <c r="X9" s="131" t="str">
        <f>Texte!A71</f>
        <v>PER: non adempiuta</v>
      </c>
      <c r="Y9" s="131"/>
      <c r="Z9" s="131"/>
      <c r="AA9" s="131" t="str">
        <f>Texte!A75</f>
        <v>Nessuna</v>
      </c>
      <c r="AB9" s="157"/>
      <c r="AC9" s="157"/>
      <c r="AD9" s="157"/>
      <c r="AE9" s="157"/>
      <c r="AF9" s="157"/>
      <c r="AG9" s="172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</row>
    <row r="10" spans="1:46" ht="15" customHeight="1">
      <c r="B10" s="78" t="str">
        <f>Texte!A59</f>
        <v>Strada / fattoria</v>
      </c>
      <c r="C10" s="81"/>
      <c r="D10" s="80"/>
      <c r="E10" s="80"/>
      <c r="F10" s="80"/>
      <c r="G10" s="80"/>
      <c r="H10" s="80"/>
      <c r="I10" s="80"/>
      <c r="M10" s="107" t="str">
        <f>Texte!A60</f>
        <v>Cantone</v>
      </c>
      <c r="N10" s="81"/>
      <c r="O10" s="80"/>
      <c r="P10" s="80"/>
      <c r="Q10" s="80"/>
      <c r="R10" s="80"/>
      <c r="S10" s="157"/>
      <c r="T10" s="157"/>
      <c r="U10" s="131" t="str">
        <f>Texte!A69</f>
        <v>regione di montagna</v>
      </c>
      <c r="V10" s="170">
        <v>2</v>
      </c>
      <c r="W10" s="171"/>
      <c r="X10" s="131" t="str">
        <f>Texte!A72</f>
        <v>PER: adempiuta</v>
      </c>
      <c r="Y10" s="131"/>
      <c r="Z10" s="131"/>
      <c r="AA10" s="131" t="str">
        <f>Texte!A76</f>
        <v>Comunità / un'azienda</v>
      </c>
      <c r="AB10" s="157"/>
      <c r="AC10" s="157"/>
      <c r="AD10" s="157"/>
      <c r="AE10" s="157"/>
      <c r="AF10" s="157"/>
      <c r="AG10" s="172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</row>
    <row r="11" spans="1:46" ht="15" customHeight="1">
      <c r="B11" s="78" t="str">
        <f>Texte!A61</f>
        <v>NPA / luogo</v>
      </c>
      <c r="C11" s="81"/>
      <c r="D11" s="80"/>
      <c r="E11" s="80"/>
      <c r="F11" s="80"/>
      <c r="G11" s="80"/>
      <c r="H11" s="80"/>
      <c r="I11" s="80"/>
      <c r="M11" s="107" t="str">
        <f>Texte!A62</f>
        <v>Fax / e-mail</v>
      </c>
      <c r="N11" s="431"/>
      <c r="O11" s="86"/>
      <c r="P11" s="86"/>
      <c r="Q11" s="80"/>
      <c r="R11" s="80"/>
      <c r="S11" s="157"/>
      <c r="T11" s="157"/>
      <c r="U11" s="449">
        <f>IF(C15="",0,VLOOKUP($C$15,$U$9:$V$10,2,FALSE))</f>
        <v>0</v>
      </c>
      <c r="V11" s="170"/>
      <c r="W11" s="171"/>
      <c r="X11" s="131" t="str">
        <f>Texte!A73</f>
        <v>Agricoltura biologica</v>
      </c>
      <c r="Y11" s="131"/>
      <c r="Z11" s="131"/>
      <c r="AA11" s="131" t="str">
        <f>Texte!A77</f>
        <v>Con 2 aziende</v>
      </c>
      <c r="AB11" s="157"/>
      <c r="AC11" s="157"/>
      <c r="AD11" s="157"/>
      <c r="AE11" s="157"/>
      <c r="AF11" s="157"/>
      <c r="AG11" s="172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</row>
    <row r="12" spans="1:46" ht="15" customHeight="1">
      <c r="B12" s="78" t="str">
        <f>Texte!A63</f>
        <v>Telefono</v>
      </c>
      <c r="C12" s="81"/>
      <c r="D12" s="80"/>
      <c r="E12" s="80"/>
      <c r="F12" s="80"/>
      <c r="G12" s="80"/>
      <c r="H12" s="80"/>
      <c r="I12" s="80"/>
      <c r="M12" s="107" t="str">
        <f>Texte!A64</f>
        <v>Cellulare</v>
      </c>
      <c r="N12" s="81"/>
      <c r="O12" s="80"/>
      <c r="P12" s="80"/>
      <c r="Q12" s="80"/>
      <c r="R12" s="80"/>
      <c r="S12" s="157"/>
      <c r="T12" s="157"/>
      <c r="U12" s="131"/>
      <c r="V12" s="170"/>
      <c r="W12" s="171"/>
      <c r="X12" s="131"/>
      <c r="Y12" s="131"/>
      <c r="Z12" s="131"/>
      <c r="AA12" s="131" t="str">
        <f>Texte!A78</f>
        <v>Con 3 aziende</v>
      </c>
      <c r="AB12" s="157"/>
      <c r="AC12" s="157"/>
      <c r="AD12" s="157"/>
      <c r="AE12" s="157"/>
      <c r="AF12" s="157"/>
      <c r="AG12" s="172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</row>
    <row r="13" spans="1:46" ht="15" customHeight="1">
      <c r="M13" s="169"/>
      <c r="Q13" s="157"/>
      <c r="R13" s="157"/>
      <c r="S13" s="157"/>
      <c r="T13" s="157"/>
      <c r="U13" s="469" t="s">
        <v>1106</v>
      </c>
      <c r="V13" s="170"/>
      <c r="W13" s="171"/>
      <c r="Y13" s="131"/>
      <c r="Z13" s="131"/>
      <c r="AA13" s="131" t="str">
        <f>Texte!A79</f>
        <v>Con 4 aziende</v>
      </c>
      <c r="AB13" s="157"/>
      <c r="AC13" s="157"/>
      <c r="AD13" s="157"/>
      <c r="AE13" s="157"/>
      <c r="AF13" s="157"/>
      <c r="AG13" s="172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</row>
    <row r="14" spans="1:46" ht="15" customHeight="1">
      <c r="B14" s="78" t="str">
        <f>Texte!A65</f>
        <v>Sup. agricola utile</v>
      </c>
      <c r="C14" s="129"/>
      <c r="D14" s="80"/>
      <c r="E14" s="80"/>
      <c r="F14" s="80"/>
      <c r="G14" s="80"/>
      <c r="H14" s="80"/>
      <c r="I14" s="80"/>
      <c r="M14" s="107" t="str">
        <f>Texte!A66</f>
        <v>Altitudine</v>
      </c>
      <c r="N14" s="81"/>
      <c r="O14" s="80"/>
      <c r="P14" s="80"/>
      <c r="Q14" s="80"/>
      <c r="R14" s="80"/>
      <c r="S14" s="157"/>
      <c r="T14" s="157"/>
      <c r="V14" s="170"/>
      <c r="W14" s="171"/>
      <c r="X14" s="171"/>
      <c r="Y14" s="131"/>
      <c r="Z14" s="131"/>
      <c r="AA14" s="181"/>
      <c r="AB14" s="157"/>
      <c r="AC14" s="157"/>
      <c r="AD14" s="157"/>
      <c r="AE14" s="157"/>
      <c r="AF14" s="157"/>
      <c r="AG14" s="172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</row>
    <row r="15" spans="1:46" ht="15" customHeight="1">
      <c r="B15" s="78" t="str">
        <f>Texte!A67</f>
        <v>regioni</v>
      </c>
      <c r="C15" s="690"/>
      <c r="D15" s="690"/>
      <c r="E15" s="690"/>
      <c r="F15" s="690"/>
      <c r="G15" s="690"/>
      <c r="H15" s="690"/>
      <c r="I15" s="690"/>
      <c r="M15" s="107" t="str">
        <f>Texte!A70</f>
        <v>Forma di produzione</v>
      </c>
      <c r="N15" s="689"/>
      <c r="O15" s="689"/>
      <c r="P15" s="689"/>
      <c r="Q15" s="689"/>
      <c r="R15" s="689"/>
      <c r="S15" s="157"/>
      <c r="T15" s="157"/>
      <c r="U15" s="171" t="str">
        <f>Texte!A87</f>
        <v>sì</v>
      </c>
      <c r="V15" s="174"/>
      <c r="W15" s="171"/>
      <c r="X15" s="171"/>
      <c r="Y15" s="131"/>
      <c r="Z15" s="131"/>
      <c r="AA15" s="157"/>
      <c r="AB15" s="157"/>
      <c r="AC15" s="157"/>
      <c r="AD15" s="157"/>
      <c r="AE15" s="157"/>
      <c r="AF15" s="157"/>
      <c r="AG15" s="172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</row>
    <row r="16" spans="1:46" ht="15" customHeight="1">
      <c r="M16" s="107" t="str">
        <f>Texte!A74</f>
        <v>Comunità</v>
      </c>
      <c r="N16" s="689"/>
      <c r="O16" s="689"/>
      <c r="P16" s="689"/>
      <c r="Q16" s="689"/>
      <c r="R16" s="689"/>
      <c r="S16" s="157"/>
      <c r="T16" s="157"/>
      <c r="U16" s="171" t="str">
        <f>Texte!A88</f>
        <v>no</v>
      </c>
      <c r="V16" s="174"/>
      <c r="W16" s="171"/>
      <c r="X16" s="171"/>
      <c r="Y16" s="131"/>
      <c r="Z16" s="131"/>
      <c r="AA16" s="157"/>
      <c r="AB16" s="157"/>
      <c r="AC16" s="157"/>
      <c r="AD16" s="157"/>
      <c r="AE16" s="157"/>
      <c r="AF16" s="157"/>
      <c r="AG16" s="172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</row>
    <row r="17" spans="1:46" ht="7.5" customHeight="1">
      <c r="B17" s="78"/>
      <c r="C17" s="148"/>
      <c r="D17" s="78"/>
      <c r="M17" s="157"/>
      <c r="N17" s="157"/>
      <c r="O17" s="157"/>
      <c r="P17" s="547"/>
      <c r="Q17" s="547"/>
      <c r="R17" s="547"/>
      <c r="S17" s="157"/>
      <c r="T17" s="157"/>
      <c r="U17" s="181"/>
      <c r="V17" s="171"/>
      <c r="W17" s="171"/>
      <c r="X17" s="171"/>
      <c r="Y17" s="131"/>
      <c r="Z17" s="131"/>
      <c r="AA17" s="157"/>
      <c r="AB17" s="157"/>
      <c r="AC17" s="157"/>
      <c r="AD17" s="157"/>
      <c r="AE17" s="157"/>
      <c r="AF17" s="157"/>
      <c r="AG17" s="172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</row>
    <row r="18" spans="1:46" ht="15" customHeight="1">
      <c r="B18" s="78" t="str">
        <f>Texte!A80</f>
        <v>Consulente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438"/>
      <c r="T18" s="439"/>
      <c r="W18" s="171"/>
      <c r="X18" s="171"/>
      <c r="Z18" s="131"/>
      <c r="AA18" s="157"/>
      <c r="AB18" s="157"/>
      <c r="AC18" s="157"/>
      <c r="AD18" s="157"/>
      <c r="AE18" s="157"/>
      <c r="AF18" s="157"/>
      <c r="AG18" s="172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</row>
    <row r="19" spans="1:46" ht="15" customHeight="1">
      <c r="D19" s="64"/>
      <c r="S19" s="175"/>
      <c r="T19" s="175"/>
      <c r="W19" s="171"/>
      <c r="X19" s="171"/>
      <c r="Z19" s="131"/>
      <c r="AA19" s="157"/>
      <c r="AB19" s="157"/>
      <c r="AC19" s="157"/>
      <c r="AD19" s="157"/>
      <c r="AE19" s="157"/>
      <c r="AF19" s="157"/>
      <c r="AG19" s="172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</row>
    <row r="20" spans="1:46" ht="15" customHeight="1">
      <c r="B20" s="78" t="str">
        <f>Texte!A81</f>
        <v>Osservazioni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593</v>
      </c>
      <c r="P20" s="84"/>
      <c r="Q20" s="84"/>
      <c r="R20" s="84"/>
      <c r="S20" s="175" t="s">
        <v>593</v>
      </c>
      <c r="T20" s="175"/>
      <c r="W20" s="171"/>
      <c r="X20" s="171"/>
      <c r="Z20" s="131"/>
      <c r="AA20" s="157"/>
      <c r="AB20" s="157"/>
      <c r="AC20" s="157"/>
      <c r="AD20" s="157"/>
      <c r="AE20" s="157"/>
      <c r="AF20" s="157"/>
      <c r="AG20" s="172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</row>
    <row r="21" spans="1:46" ht="15" customHeight="1">
      <c r="B21" s="176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593</v>
      </c>
      <c r="P21" s="84"/>
      <c r="Q21" s="84"/>
      <c r="R21" s="84"/>
      <c r="S21" s="175" t="s">
        <v>593</v>
      </c>
      <c r="T21" s="175"/>
      <c r="W21" s="171"/>
      <c r="X21" s="171"/>
      <c r="Z21" s="131"/>
      <c r="AA21" s="157"/>
      <c r="AB21" s="157"/>
      <c r="AC21" s="157"/>
      <c r="AD21" s="157"/>
      <c r="AE21" s="157"/>
      <c r="AF21" s="157"/>
      <c r="AG21" s="172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</row>
    <row r="22" spans="1:46" ht="15" customHeight="1">
      <c r="B22" s="176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593</v>
      </c>
      <c r="P22" s="84"/>
      <c r="Q22" s="84"/>
      <c r="R22" s="84"/>
      <c r="S22" s="175" t="s">
        <v>593</v>
      </c>
      <c r="T22" s="175"/>
      <c r="W22" s="171"/>
      <c r="X22" s="171"/>
      <c r="Z22" s="131"/>
      <c r="AA22" s="157"/>
      <c r="AB22" s="157"/>
      <c r="AC22" s="157"/>
      <c r="AD22" s="157"/>
      <c r="AE22" s="157"/>
      <c r="AF22" s="157"/>
      <c r="AG22" s="172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</row>
    <row r="23" spans="1:46" ht="15" customHeight="1">
      <c r="B23" s="176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593</v>
      </c>
      <c r="P23" s="84"/>
      <c r="Q23" s="84"/>
      <c r="R23" s="84"/>
      <c r="S23" s="175" t="s">
        <v>593</v>
      </c>
      <c r="T23" s="175"/>
      <c r="W23" s="171"/>
      <c r="X23" s="171"/>
      <c r="Z23" s="131"/>
      <c r="AA23" s="157"/>
      <c r="AB23" s="157"/>
      <c r="AC23" s="157"/>
      <c r="AD23" s="157"/>
      <c r="AE23" s="157"/>
      <c r="AF23" s="157"/>
      <c r="AG23" s="172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</row>
    <row r="24" spans="1:46" ht="15" customHeight="1">
      <c r="B24" s="176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593</v>
      </c>
      <c r="P24" s="84"/>
      <c r="Q24" s="84"/>
      <c r="R24" s="84"/>
      <c r="S24" s="175" t="s">
        <v>593</v>
      </c>
      <c r="T24" s="175"/>
      <c r="W24" s="171"/>
      <c r="X24" s="171"/>
      <c r="Z24" s="131"/>
      <c r="AA24" s="157"/>
      <c r="AB24" s="157"/>
      <c r="AC24" s="157"/>
      <c r="AD24" s="157"/>
      <c r="AE24" s="157"/>
      <c r="AF24" s="157"/>
      <c r="AG24" s="172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</row>
    <row r="25" spans="1:46" ht="15" customHeight="1">
      <c r="B25" s="176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593</v>
      </c>
      <c r="P25" s="84"/>
      <c r="Q25" s="84"/>
      <c r="R25" s="84"/>
      <c r="S25" s="157" t="s">
        <v>593</v>
      </c>
      <c r="T25" s="157"/>
      <c r="U25" s="171"/>
      <c r="V25" s="171"/>
      <c r="W25" s="171"/>
      <c r="X25" s="171"/>
      <c r="Z25" s="131"/>
      <c r="AA25" s="157"/>
      <c r="AB25" s="157"/>
      <c r="AC25" s="157"/>
      <c r="AD25" s="157"/>
      <c r="AE25" s="157"/>
      <c r="AF25" s="157"/>
      <c r="AG25" s="172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</row>
    <row r="26" spans="1:46" ht="15" customHeight="1">
      <c r="B26" s="176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593</v>
      </c>
      <c r="P26" s="84"/>
      <c r="Q26" s="84"/>
      <c r="R26" s="84"/>
      <c r="S26" s="157" t="s">
        <v>593</v>
      </c>
      <c r="T26" s="157"/>
      <c r="U26" s="171"/>
      <c r="V26" s="171"/>
      <c r="W26" s="171"/>
      <c r="X26" s="171"/>
      <c r="Z26" s="131"/>
      <c r="AA26" s="157"/>
      <c r="AB26" s="157"/>
      <c r="AC26" s="157"/>
      <c r="AD26" s="157"/>
      <c r="AE26" s="157"/>
      <c r="AF26" s="157"/>
      <c r="AG26" s="172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</row>
    <row r="27" spans="1:46" ht="15" customHeight="1">
      <c r="B27" s="176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593</v>
      </c>
      <c r="P27" s="84"/>
      <c r="Q27" s="84"/>
      <c r="R27" s="84"/>
      <c r="S27" s="157" t="s">
        <v>593</v>
      </c>
      <c r="T27" s="157"/>
      <c r="V27" s="171"/>
      <c r="W27" s="171"/>
      <c r="X27" s="171"/>
      <c r="Z27" s="131"/>
      <c r="AA27" s="157"/>
      <c r="AB27" s="157"/>
      <c r="AC27" s="157"/>
      <c r="AD27" s="157"/>
      <c r="AE27" s="157"/>
      <c r="AF27" s="157"/>
      <c r="AG27" s="172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</row>
    <row r="28" spans="1:46" ht="15" customHeight="1">
      <c r="B28" s="176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593</v>
      </c>
      <c r="P28" s="84"/>
      <c r="Q28" s="84"/>
      <c r="R28" s="84"/>
      <c r="S28" s="157" t="s">
        <v>593</v>
      </c>
      <c r="T28" s="157"/>
      <c r="V28" s="171"/>
      <c r="W28" s="171"/>
      <c r="X28" s="171"/>
      <c r="Z28" s="131"/>
      <c r="AA28" s="157"/>
      <c r="AB28" s="157"/>
      <c r="AC28" s="157"/>
      <c r="AD28" s="157"/>
      <c r="AE28" s="157"/>
      <c r="AF28" s="157"/>
      <c r="AG28" s="172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</row>
    <row r="29" spans="1:46" ht="15" customHeight="1">
      <c r="B29" s="176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593</v>
      </c>
      <c r="P29" s="84"/>
      <c r="Q29" s="84"/>
      <c r="R29" s="84"/>
      <c r="S29" s="157" t="s">
        <v>593</v>
      </c>
      <c r="T29" s="157"/>
      <c r="V29" s="171"/>
      <c r="W29" s="171"/>
      <c r="X29" s="171"/>
      <c r="Z29" s="131"/>
      <c r="AA29" s="157"/>
      <c r="AB29" s="157"/>
      <c r="AC29" s="157"/>
      <c r="AD29" s="157"/>
      <c r="AE29" s="157"/>
      <c r="AF29" s="157"/>
      <c r="AG29" s="172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</row>
    <row r="30" spans="1:46" ht="15" customHeight="1">
      <c r="N30" s="157"/>
      <c r="O30" s="157"/>
      <c r="P30" s="157"/>
      <c r="Q30" s="157"/>
      <c r="R30" s="157"/>
      <c r="S30" s="157"/>
      <c r="T30" s="157"/>
      <c r="V30" s="171"/>
      <c r="W30" s="171"/>
      <c r="X30" s="171"/>
      <c r="Z30" s="131"/>
      <c r="AA30" s="157"/>
      <c r="AB30" s="157"/>
      <c r="AC30" s="157"/>
      <c r="AD30" s="157"/>
      <c r="AE30" s="157"/>
      <c r="AF30" s="157"/>
      <c r="AG30" s="172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</row>
    <row r="31" spans="1:46" ht="16.5" customHeight="1">
      <c r="A31" s="177"/>
      <c r="B31" s="178" t="str">
        <f>Texte!A82</f>
        <v>Parte A: consumo di foraggio di base e concentrato (fabbisogno)</v>
      </c>
      <c r="C31" s="177"/>
      <c r="D31" s="177"/>
      <c r="E31" s="177"/>
      <c r="F31" s="179"/>
      <c r="G31" s="179"/>
      <c r="H31" s="179"/>
      <c r="I31" s="179"/>
      <c r="J31" s="179"/>
      <c r="T31" s="180"/>
      <c r="V31" s="181"/>
      <c r="X31" s="181"/>
      <c r="Y31" s="470" t="s">
        <v>1107</v>
      </c>
      <c r="Z31" s="659"/>
      <c r="AA31" s="659"/>
      <c r="AB31" s="663" t="s">
        <v>271</v>
      </c>
      <c r="AC31" s="184"/>
      <c r="AD31" s="183"/>
      <c r="AE31" s="185"/>
      <c r="AF31" s="149"/>
      <c r="AG31" s="180"/>
      <c r="AH31" s="160"/>
      <c r="AI31" s="160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</row>
    <row r="32" spans="1:46" ht="9.9499999999999993" customHeight="1">
      <c r="B32" s="186"/>
      <c r="C32" s="186"/>
      <c r="D32" s="186"/>
      <c r="E32" s="186"/>
      <c r="I32" s="155"/>
      <c r="T32" s="187"/>
      <c r="U32" s="471" t="s">
        <v>654</v>
      </c>
      <c r="V32" s="181"/>
      <c r="X32" s="135"/>
      <c r="Y32" s="135" t="s">
        <v>1110</v>
      </c>
      <c r="Z32" s="664"/>
      <c r="AA32" s="665" t="s">
        <v>558</v>
      </c>
      <c r="AB32" s="666">
        <v>1</v>
      </c>
      <c r="AC32" s="187"/>
      <c r="AD32" s="183"/>
      <c r="AE32" s="183"/>
      <c r="AF32" s="187"/>
      <c r="AG32" s="180"/>
      <c r="AH32" s="180"/>
      <c r="AI32" s="180"/>
      <c r="AJ32" s="18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</row>
    <row r="33" spans="1:51" ht="13.5" customHeight="1">
      <c r="A33" s="186"/>
      <c r="C33" s="186"/>
      <c r="E33" s="189" t="str">
        <f>Texte!A83</f>
        <v>Totale concentrati per vacca da latte sulla SAU</v>
      </c>
      <c r="F33" s="52"/>
      <c r="G33" s="149" t="str">
        <f>Texte!A84</f>
        <v>dt/anno</v>
      </c>
      <c r="L33" s="190" t="str">
        <f>Texte!A85</f>
        <v>patate o barbabietole da foraggio?</v>
      </c>
      <c r="M33" s="147"/>
      <c r="N33" s="191"/>
      <c r="O33" s="187"/>
      <c r="P33" s="187"/>
      <c r="Q33" s="187"/>
      <c r="R33" s="187"/>
      <c r="U33" s="449">
        <f>IF($M$33="",0,IF($M$33=$U$15,1.1,0))</f>
        <v>0</v>
      </c>
      <c r="V33" s="199"/>
      <c r="W33" s="200">
        <v>0</v>
      </c>
      <c r="X33" s="201">
        <v>0</v>
      </c>
      <c r="Y33" s="201">
        <v>500</v>
      </c>
      <c r="Z33" s="659"/>
      <c r="AA33" s="667" t="s">
        <v>272</v>
      </c>
      <c r="AB33" s="668">
        <v>0.25</v>
      </c>
      <c r="AC33" s="151"/>
      <c r="AD33" s="150"/>
      <c r="AE33" s="183"/>
      <c r="AF33" s="149"/>
      <c r="AG33" s="152"/>
      <c r="AH33" s="180"/>
      <c r="AI33" s="180"/>
      <c r="AJ33" s="18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</row>
    <row r="34" spans="1:51" ht="13.5" customHeight="1">
      <c r="A34" s="186"/>
      <c r="B34" s="192"/>
      <c r="C34" s="186"/>
      <c r="L34" s="193" t="str">
        <f>Texte!A86</f>
        <v>Foraggiamento a discrezione?</v>
      </c>
      <c r="M34" s="147"/>
      <c r="N34" s="194"/>
      <c r="O34" s="180"/>
      <c r="P34" s="180"/>
      <c r="Q34" s="180"/>
      <c r="R34" s="180"/>
      <c r="U34" s="449">
        <f>IF($M$34="",0,IF($M$34=$U$15,1.83,0))</f>
        <v>0</v>
      </c>
      <c r="V34" s="199"/>
      <c r="W34" s="200">
        <v>1000</v>
      </c>
      <c r="X34" s="201">
        <v>0</v>
      </c>
      <c r="Y34" s="201">
        <v>500</v>
      </c>
      <c r="Z34" s="659"/>
      <c r="AA34" s="667" t="s">
        <v>273</v>
      </c>
      <c r="AB34" s="668">
        <v>0.2</v>
      </c>
      <c r="AC34" s="151"/>
      <c r="AD34" s="150"/>
      <c r="AE34" s="183"/>
      <c r="AF34" s="149"/>
      <c r="AG34" s="152"/>
      <c r="AH34" s="180"/>
      <c r="AI34" s="180"/>
      <c r="AJ34" s="18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</row>
    <row r="35" spans="1:51" ht="12" customHeight="1">
      <c r="A35" s="195"/>
      <c r="B35" s="196"/>
      <c r="C35" s="196"/>
      <c r="D35" s="196"/>
      <c r="E35" s="196"/>
      <c r="F35" s="197"/>
      <c r="G35" s="197"/>
      <c r="H35" s="197"/>
      <c r="I35" s="197"/>
      <c r="J35" s="197"/>
      <c r="K35" s="197"/>
      <c r="L35" s="197"/>
      <c r="M35" s="197"/>
      <c r="N35" s="197"/>
      <c r="O35" s="155"/>
      <c r="P35" s="155"/>
      <c r="Q35" s="155"/>
      <c r="R35" s="155"/>
      <c r="S35" s="195"/>
      <c r="T35" s="195"/>
      <c r="U35" s="198"/>
      <c r="V35" s="199"/>
      <c r="W35" s="200">
        <v>2000</v>
      </c>
      <c r="X35" s="201">
        <v>0</v>
      </c>
      <c r="Y35" s="201">
        <v>500</v>
      </c>
      <c r="Z35" s="202"/>
      <c r="AA35" s="203"/>
      <c r="AB35" s="203"/>
      <c r="AC35" s="203"/>
      <c r="AD35" s="203"/>
      <c r="AE35" s="204"/>
      <c r="AF35" s="149"/>
      <c r="AG35" s="152"/>
      <c r="AJ35" s="149"/>
      <c r="AK35" s="18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</row>
    <row r="36" spans="1:51" ht="12.75" customHeight="1">
      <c r="A36" s="205"/>
      <c r="B36" s="206"/>
      <c r="C36" s="207"/>
      <c r="D36" s="207"/>
      <c r="E36" s="207"/>
      <c r="F36" s="208"/>
      <c r="G36" s="208"/>
      <c r="H36" s="209"/>
      <c r="J36" s="210"/>
      <c r="K36" s="211" t="str">
        <f>Texte!A99</f>
        <v>Consumo</v>
      </c>
      <c r="L36" s="212"/>
      <c r="M36" s="211" t="str">
        <f>Texte!A105</f>
        <v>Consumo di</v>
      </c>
      <c r="N36" s="211" t="str">
        <f>Texte!A110</f>
        <v>Estivazione</v>
      </c>
      <c r="O36" s="549"/>
      <c r="P36" s="550"/>
      <c r="Q36" s="549"/>
      <c r="R36" s="213"/>
      <c r="S36" s="195"/>
      <c r="T36" s="195"/>
      <c r="U36" s="198"/>
      <c r="V36" s="198"/>
      <c r="W36" s="200">
        <v>3000</v>
      </c>
      <c r="X36" s="201">
        <v>0</v>
      </c>
      <c r="Y36" s="201">
        <v>500</v>
      </c>
      <c r="Z36" s="199"/>
      <c r="AA36" s="195"/>
      <c r="AB36" s="195"/>
      <c r="AC36" s="195"/>
      <c r="AD36" s="195"/>
      <c r="AE36" s="195"/>
      <c r="AF36" s="149"/>
      <c r="AG36" s="152"/>
      <c r="AJ36" s="149"/>
      <c r="AK36" s="188"/>
      <c r="AL36" s="214"/>
      <c r="AM36" s="158"/>
      <c r="AN36" s="158"/>
      <c r="AO36" s="215"/>
      <c r="AP36" s="158"/>
      <c r="AQ36" s="158"/>
      <c r="AR36" s="158"/>
      <c r="AS36" s="158"/>
      <c r="AT36" s="158"/>
      <c r="AU36" s="158"/>
    </row>
    <row r="37" spans="1:51" ht="12.75" customHeight="1">
      <c r="A37" s="216"/>
      <c r="B37" s="217"/>
      <c r="C37" s="218"/>
      <c r="D37" s="218"/>
      <c r="E37" s="218"/>
      <c r="F37" s="219"/>
      <c r="H37" s="220" t="str">
        <f>Texte!A92</f>
        <v>Deduzione /</v>
      </c>
      <c r="I37" s="221"/>
      <c r="J37" s="222" t="str">
        <f>Texte!A96</f>
        <v>Numero</v>
      </c>
      <c r="K37" s="223" t="str">
        <f>Texte!A100</f>
        <v>di foraggio di base</v>
      </c>
      <c r="L37" s="224"/>
      <c r="M37" s="225" t="str">
        <f>Texte!A106</f>
        <v>concentrati</v>
      </c>
      <c r="N37" s="377"/>
      <c r="O37" s="551"/>
      <c r="P37" s="552"/>
      <c r="Q37" s="553"/>
      <c r="R37" s="226"/>
      <c r="S37" s="229"/>
      <c r="T37" s="229"/>
      <c r="U37" s="198"/>
      <c r="V37" s="198"/>
      <c r="W37" s="200">
        <v>4000</v>
      </c>
      <c r="X37" s="201">
        <v>0</v>
      </c>
      <c r="Y37" s="201">
        <v>500</v>
      </c>
      <c r="Z37" s="199"/>
      <c r="AA37" s="195"/>
      <c r="AB37" s="230"/>
      <c r="AC37" s="195"/>
      <c r="AD37" s="195"/>
      <c r="AE37" s="195"/>
      <c r="AF37" s="149"/>
      <c r="AG37" s="152"/>
      <c r="AJ37" s="149"/>
      <c r="AK37" s="188"/>
      <c r="AL37" s="680"/>
      <c r="AM37" s="681"/>
      <c r="AN37" s="681"/>
      <c r="AO37" s="682"/>
      <c r="AP37" s="158"/>
      <c r="AQ37" s="158"/>
      <c r="AR37" s="158"/>
      <c r="AS37" s="158"/>
      <c r="AT37" s="158"/>
      <c r="AU37" s="158"/>
    </row>
    <row r="38" spans="1:51" ht="12.75" customHeight="1">
      <c r="A38" s="205"/>
      <c r="B38" s="232" t="str">
        <f>Texte!A89</f>
        <v>Specie o categoria animale</v>
      </c>
      <c r="C38" s="218"/>
      <c r="D38" s="218"/>
      <c r="E38" s="218"/>
      <c r="F38" s="219" t="str">
        <f>Texte!A90</f>
        <v>Unità</v>
      </c>
      <c r="G38" s="219" t="str">
        <f>Texte!A91</f>
        <v>Numero</v>
      </c>
      <c r="H38" s="220" t="str">
        <f>Texte!A93</f>
        <v>supplemento</v>
      </c>
      <c r="I38" s="233"/>
      <c r="J38" s="222" t="str">
        <f>Texte!A97</f>
        <v>Corretto</v>
      </c>
      <c r="K38" s="234" t="str">
        <f>Texte!A104</f>
        <v>q SS</v>
      </c>
      <c r="L38" s="234" t="str">
        <f>Texte!A104</f>
        <v>q SS</v>
      </c>
      <c r="M38" s="222" t="str">
        <f>Texte!A102</f>
        <v>q SF</v>
      </c>
      <c r="N38" s="222" t="str">
        <f>Texte!A111</f>
        <v>Numero</v>
      </c>
      <c r="O38" s="222" t="str">
        <f>Texte!A113</f>
        <v>Numero</v>
      </c>
      <c r="P38" s="222" t="str">
        <f>Texte!A115</f>
        <v>giorni di esti-</v>
      </c>
      <c r="Q38" s="222" t="str">
        <f>Texte!A117</f>
        <v>C. di f. di base</v>
      </c>
      <c r="R38" s="222" t="str">
        <f>Texte!A118</f>
        <v>concentrati</v>
      </c>
      <c r="S38" s="235"/>
      <c r="T38" s="235"/>
      <c r="U38" s="138"/>
      <c r="V38" s="198"/>
      <c r="W38" s="200">
        <v>5000</v>
      </c>
      <c r="X38" s="201">
        <v>0</v>
      </c>
      <c r="Y38" s="201">
        <v>500</v>
      </c>
      <c r="Z38" s="236"/>
      <c r="AA38" s="237"/>
      <c r="AB38" s="237"/>
      <c r="AC38" s="137"/>
      <c r="AD38" s="48"/>
      <c r="AE38" s="237"/>
      <c r="AF38" s="149"/>
      <c r="AG38" s="152"/>
      <c r="AJ38" s="149"/>
      <c r="AK38" s="188"/>
      <c r="AL38" s="158"/>
      <c r="AM38" s="158"/>
      <c r="AN38" s="158"/>
      <c r="AO38" s="158"/>
      <c r="AP38" s="158"/>
      <c r="AQ38" s="158"/>
      <c r="AR38" s="158"/>
      <c r="AS38" s="158"/>
      <c r="AT38" s="158"/>
    </row>
    <row r="39" spans="1:51" ht="12.75" customHeight="1">
      <c r="A39" s="205"/>
      <c r="B39" s="238"/>
      <c r="C39" s="239"/>
      <c r="D39" s="239"/>
      <c r="E39" s="239"/>
      <c r="F39" s="240"/>
      <c r="G39" s="240"/>
      <c r="H39" s="240" t="str">
        <f>Texte!A94</f>
        <v>±animali</v>
      </c>
      <c r="I39" s="241" t="str">
        <f>Texte!A95</f>
        <v>Giorni</v>
      </c>
      <c r="J39" s="633">
        <f>Texte!A98</f>
        <v>0</v>
      </c>
      <c r="K39" s="242" t="str">
        <f>Texte!A101</f>
        <v>per anno</v>
      </c>
      <c r="L39" s="242" t="str">
        <f>Texte!A103</f>
        <v>Totale</v>
      </c>
      <c r="M39" s="242" t="str">
        <f>Texte!A103</f>
        <v>Totale</v>
      </c>
      <c r="N39" s="242" t="str">
        <f>Texte!A112</f>
        <v>animali</v>
      </c>
      <c r="O39" s="242" t="str">
        <f>Texte!A114</f>
        <v>Giorni</v>
      </c>
      <c r="P39" s="242" t="str">
        <f>Texte!A116</f>
        <v>vazione totale</v>
      </c>
      <c r="Q39" s="242" t="str">
        <f>Texte!A119</f>
        <v>q SS totale</v>
      </c>
      <c r="R39" s="242" t="str">
        <f>Texte!A120</f>
        <v>q SF totale</v>
      </c>
      <c r="S39" s="235"/>
      <c r="T39" s="235"/>
      <c r="U39" s="243"/>
      <c r="V39" s="254"/>
      <c r="W39" s="200">
        <v>6000</v>
      </c>
      <c r="X39" s="201">
        <v>100</v>
      </c>
      <c r="Y39" s="201">
        <v>700</v>
      </c>
      <c r="Z39" s="244"/>
      <c r="AA39" s="237"/>
      <c r="AB39" s="237"/>
      <c r="AC39" s="245"/>
      <c r="AD39" s="237"/>
      <c r="AE39" s="237"/>
      <c r="AF39" s="149"/>
      <c r="AG39" s="152"/>
      <c r="AJ39" s="149"/>
      <c r="AK39" s="18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Y39" s="149">
        <v>0</v>
      </c>
    </row>
    <row r="40" spans="1:51" ht="12.75" customHeight="1">
      <c r="A40" s="205"/>
      <c r="B40" s="246" t="str">
        <f>Texte!A122</f>
        <v>Bovini</v>
      </c>
      <c r="C40" s="247"/>
      <c r="D40" s="247"/>
      <c r="E40" s="247"/>
      <c r="F40" s="247"/>
      <c r="G40" s="247"/>
      <c r="H40" s="247"/>
      <c r="I40" s="248"/>
      <c r="J40" s="249"/>
      <c r="K40" s="249"/>
      <c r="L40" s="249"/>
      <c r="M40" s="249"/>
      <c r="N40" s="249"/>
      <c r="O40" s="249"/>
      <c r="P40" s="249"/>
      <c r="Q40" s="249"/>
      <c r="R40" s="249"/>
      <c r="S40" s="235"/>
      <c r="T40" s="235"/>
      <c r="U40" s="243"/>
      <c r="V40" s="254"/>
      <c r="W40" s="200">
        <v>7000</v>
      </c>
      <c r="X40" s="201">
        <v>300</v>
      </c>
      <c r="Y40" s="201">
        <v>900</v>
      </c>
      <c r="Z40" s="244"/>
      <c r="AA40" s="237"/>
      <c r="AB40" s="237"/>
      <c r="AC40" s="245"/>
      <c r="AD40" s="237"/>
      <c r="AE40" s="237"/>
      <c r="AF40" s="149"/>
      <c r="AG40" s="152"/>
      <c r="AJ40" s="149"/>
      <c r="AK40" s="18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</row>
    <row r="41" spans="1:51" ht="12.75" customHeight="1">
      <c r="A41" s="250"/>
      <c r="B41" s="251" t="str">
        <f>Texte!A124</f>
        <v>Vacche da latte</v>
      </c>
      <c r="C41" s="252"/>
      <c r="D41" s="494" t="str">
        <f>Texte!A123</f>
        <v>Prod. di latte Ø kg/anno</v>
      </c>
      <c r="E41" s="253"/>
      <c r="F41" s="2" t="str">
        <f>IF($B41="","",VLOOKUP($B41,Daten!$B$8:$E$56,2,FALSE))</f>
        <v>1 capo</v>
      </c>
      <c r="G41" s="98"/>
      <c r="H41" s="99"/>
      <c r="I41" s="99"/>
      <c r="J41" s="626">
        <f>IF(OR(AND(H41&lt;0,G41&lt;ABS(H41)),I41&gt;365),"!",G41+(H41*I41/365))</f>
        <v>0</v>
      </c>
      <c r="K41" s="626">
        <f>IF(E41 &lt;= 6500, 58-(6500-E41)/100*0.58+U33+U34+Y46, 58+(E41-6500)/100*0.12+U33+U34+Y46)</f>
        <v>20.300000000000004</v>
      </c>
      <c r="L41" s="630" t="str">
        <f>IF(J41&gt;0,J41*K41,"")</f>
        <v/>
      </c>
      <c r="M41" s="632">
        <f>F33</f>
        <v>0</v>
      </c>
      <c r="N41" s="99"/>
      <c r="O41" s="99"/>
      <c r="P41" s="630">
        <f>N41*O41</f>
        <v>0</v>
      </c>
      <c r="Q41" s="630" t="str">
        <f>IF($N41=0,"",IF(E41 &lt;= 6500, 58-(6500-E41)/100*0.58, 58+(E41-6500)/100*0.12)*$P41/365)</f>
        <v/>
      </c>
      <c r="R41" s="563"/>
      <c r="S41" s="564" t="str">
        <f>IF(R41=0,"",IF(R41&gt;N41*O41*AB32/100,Texte!A181,""))</f>
        <v/>
      </c>
      <c r="T41" s="48"/>
      <c r="U41" s="134"/>
      <c r="V41" s="254"/>
      <c r="W41" s="200">
        <v>8000</v>
      </c>
      <c r="X41" s="201">
        <v>500</v>
      </c>
      <c r="Y41" s="201">
        <v>1100</v>
      </c>
      <c r="Z41" s="135"/>
      <c r="AA41" s="255"/>
      <c r="AB41" s="136"/>
      <c r="AC41" s="137"/>
      <c r="AD41" s="137"/>
      <c r="AE41" s="137"/>
      <c r="AF41" s="149"/>
      <c r="AG41" s="152"/>
      <c r="AJ41" s="149"/>
      <c r="AK41" s="188"/>
      <c r="AL41" s="214"/>
      <c r="AM41" s="158"/>
      <c r="AN41" s="158"/>
      <c r="AO41" s="215"/>
      <c r="AP41" s="158"/>
      <c r="AQ41" s="158"/>
      <c r="AR41" s="158"/>
      <c r="AS41" s="158"/>
      <c r="AT41" s="158"/>
      <c r="AU41" s="158"/>
      <c r="AY41" s="185">
        <v>50</v>
      </c>
    </row>
    <row r="42" spans="1:51" ht="12.75" customHeight="1">
      <c r="A42" s="250"/>
      <c r="B42" s="256" t="str">
        <f>Texte!A125</f>
        <v>Altre vacche</v>
      </c>
      <c r="C42" s="257"/>
      <c r="D42" s="494" t="str">
        <f>Texte!A123</f>
        <v>Prod. di latte Ø kg/anno</v>
      </c>
      <c r="E42" s="258"/>
      <c r="F42" s="2" t="str">
        <f>IF($B42="","",VLOOKUP($B42,Daten!$B$8:$E$56,2,FALSE))</f>
        <v>1 capo</v>
      </c>
      <c r="G42" s="98"/>
      <c r="H42" s="100"/>
      <c r="I42" s="100"/>
      <c r="J42" s="626">
        <f t="shared" ref="J42:J78" si="0">IF(OR(AND(H42&lt;0,G42&lt;ABS(H42)),I42&gt;365),"!",G42+(H42*I42/365))</f>
        <v>0</v>
      </c>
      <c r="K42" s="626">
        <f>IF(E42 &lt;= 6500, 58-(6500-E42)/100*0.58+Y47, 58+(E42-6500)/100*0.12+Y47)</f>
        <v>20.300000000000004</v>
      </c>
      <c r="L42" s="630" t="str">
        <f>IF(J42&gt;0,J42*K42,"")</f>
        <v/>
      </c>
      <c r="M42" s="100"/>
      <c r="N42" s="100"/>
      <c r="O42" s="100"/>
      <c r="P42" s="630">
        <f t="shared" ref="P42:P64" si="1">N42*O42</f>
        <v>0</v>
      </c>
      <c r="Q42" s="630" t="str">
        <f t="shared" ref="Q42:Q57" si="2">IF($N42=0,"",$K42*$P42/365)</f>
        <v/>
      </c>
      <c r="R42" s="272"/>
      <c r="S42" s="48"/>
      <c r="T42" s="48"/>
      <c r="U42" s="134"/>
      <c r="V42" s="254"/>
      <c r="W42" s="200">
        <v>9000</v>
      </c>
      <c r="X42" s="201">
        <v>700</v>
      </c>
      <c r="Y42" s="201">
        <v>1300</v>
      </c>
      <c r="Z42" s="135"/>
      <c r="AA42" s="255"/>
      <c r="AB42" s="136"/>
      <c r="AC42" s="137"/>
      <c r="AD42" s="137"/>
      <c r="AE42" s="137"/>
      <c r="AF42" s="149"/>
      <c r="AG42" s="152"/>
      <c r="AJ42" s="149"/>
      <c r="AK42" s="188"/>
      <c r="AL42" s="680"/>
      <c r="AM42" s="681"/>
      <c r="AN42" s="681"/>
      <c r="AO42" s="682"/>
      <c r="AP42" s="158"/>
      <c r="AQ42" s="158"/>
      <c r="AR42" s="158"/>
      <c r="AS42" s="158"/>
      <c r="AT42" s="158"/>
      <c r="AU42" s="158"/>
      <c r="AY42" s="185">
        <v>100</v>
      </c>
    </row>
    <row r="43" spans="1:51" ht="12.75" customHeight="1">
      <c r="A43" s="49"/>
      <c r="B43" s="256" t="str">
        <f>Texte!A129</f>
        <v>Bestiame giovane, 0-1 anno</v>
      </c>
      <c r="C43" s="257"/>
      <c r="D43" s="257"/>
      <c r="E43" s="257"/>
      <c r="F43" s="2" t="str">
        <f>IF($B43="","",VLOOKUP($B43,Daten!$B$8:$E$56,2,FALSE))</f>
        <v>1 capo</v>
      </c>
      <c r="G43" s="98"/>
      <c r="H43" s="100"/>
      <c r="I43" s="100"/>
      <c r="J43" s="626">
        <f t="shared" si="0"/>
        <v>0</v>
      </c>
      <c r="K43" s="627">
        <f>IF($B43="","",VLOOKUP($B43,Daten!$B$8:$E$56,4,FALSE))</f>
        <v>14</v>
      </c>
      <c r="L43" s="630" t="str">
        <f t="shared" ref="L43:L56" si="3">IF(J43&gt;0,J43*K43,"")</f>
        <v/>
      </c>
      <c r="M43" s="100"/>
      <c r="N43" s="100"/>
      <c r="O43" s="100"/>
      <c r="P43" s="630">
        <f t="shared" si="1"/>
        <v>0</v>
      </c>
      <c r="Q43" s="630" t="str">
        <f t="shared" si="2"/>
        <v/>
      </c>
      <c r="R43" s="272"/>
      <c r="S43" s="48"/>
      <c r="T43" s="48"/>
      <c r="U43" s="134"/>
      <c r="V43" s="254"/>
      <c r="W43" s="200">
        <v>10000</v>
      </c>
      <c r="X43" s="201">
        <v>900</v>
      </c>
      <c r="Y43" s="201">
        <v>1600</v>
      </c>
      <c r="Z43" s="135"/>
      <c r="AA43" s="255"/>
      <c r="AB43" s="136"/>
      <c r="AC43" s="137"/>
      <c r="AD43" s="137"/>
      <c r="AE43" s="137"/>
      <c r="AF43" s="149"/>
      <c r="AG43" s="152"/>
      <c r="AJ43" s="149"/>
      <c r="AK43" s="188"/>
      <c r="AL43" s="158"/>
      <c r="AM43" s="158"/>
      <c r="AN43" s="158"/>
      <c r="AO43" s="158"/>
      <c r="AP43" s="158"/>
      <c r="AQ43" s="158"/>
      <c r="AR43" s="158"/>
      <c r="AS43" s="158"/>
      <c r="AT43" s="158"/>
    </row>
    <row r="44" spans="1:51" ht="12.75" customHeight="1">
      <c r="A44" s="49"/>
      <c r="B44" s="256" t="str">
        <f>Texte!A130</f>
        <v>Bestiame giovane, 1-2 anni</v>
      </c>
      <c r="C44" s="257"/>
      <c r="D44" s="257"/>
      <c r="E44" s="257"/>
      <c r="F44" s="2" t="str">
        <f>IF($B44="","",VLOOKUP($B44,Daten!$B$8:$E$56,2,FALSE))</f>
        <v>1 capo</v>
      </c>
      <c r="G44" s="98"/>
      <c r="H44" s="100"/>
      <c r="I44" s="100"/>
      <c r="J44" s="626">
        <f t="shared" si="0"/>
        <v>0</v>
      </c>
      <c r="K44" s="627">
        <f>IF($B44="","",VLOOKUP($B44,Daten!$B$8:$E$56,4,FALSE))</f>
        <v>26</v>
      </c>
      <c r="L44" s="630" t="str">
        <f t="shared" si="3"/>
        <v/>
      </c>
      <c r="M44" s="100"/>
      <c r="N44" s="100"/>
      <c r="O44" s="100"/>
      <c r="P44" s="630">
        <f t="shared" si="1"/>
        <v>0</v>
      </c>
      <c r="Q44" s="630" t="str">
        <f t="shared" si="2"/>
        <v/>
      </c>
      <c r="R44" s="272"/>
      <c r="S44" s="48"/>
      <c r="T44" s="48"/>
      <c r="U44" s="134"/>
      <c r="V44" s="254"/>
      <c r="W44" s="200">
        <v>11000</v>
      </c>
      <c r="X44" s="201">
        <v>1100</v>
      </c>
      <c r="Y44" s="201">
        <v>1900</v>
      </c>
      <c r="Z44" s="135"/>
      <c r="AA44" s="255"/>
      <c r="AB44" s="136"/>
      <c r="AC44" s="137"/>
      <c r="AD44" s="137"/>
      <c r="AE44" s="137"/>
      <c r="AF44" s="149"/>
      <c r="AG44" s="152"/>
      <c r="AJ44" s="149"/>
      <c r="AK44" s="18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</row>
    <row r="45" spans="1:51" ht="12.75" customHeight="1">
      <c r="A45" s="49"/>
      <c r="B45" s="256" t="str">
        <f>Texte!A131</f>
        <v>Manzi &gt;2 anni</v>
      </c>
      <c r="C45" s="257"/>
      <c r="D45" s="257"/>
      <c r="E45" s="257"/>
      <c r="F45" s="2" t="str">
        <f>IF($B45="","",VLOOKUP($B45,Daten!$B$8:$E$56,2,FALSE))</f>
        <v>1 posta</v>
      </c>
      <c r="G45" s="98"/>
      <c r="H45" s="100"/>
      <c r="I45" s="100"/>
      <c r="J45" s="626">
        <f>IF(I45&gt;365,"!",G45+(H45*I45/365))</f>
        <v>0</v>
      </c>
      <c r="K45" s="627">
        <f>IF($B45="","",VLOOKUP($B45,Daten!$B$8:$E$56,4,FALSE))</f>
        <v>33</v>
      </c>
      <c r="L45" s="630" t="str">
        <f t="shared" si="3"/>
        <v/>
      </c>
      <c r="M45" s="100"/>
      <c r="N45" s="100"/>
      <c r="O45" s="100"/>
      <c r="P45" s="630">
        <f t="shared" si="1"/>
        <v>0</v>
      </c>
      <c r="Q45" s="630" t="str">
        <f t="shared" si="2"/>
        <v/>
      </c>
      <c r="R45" s="272"/>
      <c r="S45" s="48"/>
      <c r="T45" s="48"/>
      <c r="U45" s="134"/>
      <c r="V45" s="254"/>
      <c r="W45" s="181"/>
      <c r="X45" s="314" t="s">
        <v>269</v>
      </c>
      <c r="Y45" s="449">
        <f>IF(G41=0,0,F33/G41*100)</f>
        <v>0</v>
      </c>
      <c r="Z45" s="135"/>
      <c r="AA45" s="255"/>
      <c r="AB45" s="136"/>
      <c r="AC45" s="137"/>
      <c r="AD45" s="137"/>
      <c r="AE45" s="137"/>
      <c r="AF45" s="149"/>
      <c r="AG45" s="152"/>
      <c r="AJ45" s="149"/>
      <c r="AK45" s="188"/>
      <c r="AL45" s="214"/>
      <c r="AM45" s="158"/>
      <c r="AN45" s="158"/>
      <c r="AO45" s="215"/>
      <c r="AP45" s="158"/>
      <c r="AQ45" s="158"/>
      <c r="AR45" s="158"/>
      <c r="AS45" s="158"/>
      <c r="AT45" s="158"/>
      <c r="AU45" s="158"/>
    </row>
    <row r="46" spans="1:51" ht="12.75" customHeight="1">
      <c r="A46" s="49"/>
      <c r="B46" s="256" t="str">
        <f>Texte!A140</f>
        <v>Tori da allevamento</v>
      </c>
      <c r="C46" s="257"/>
      <c r="D46" s="257"/>
      <c r="E46" s="257"/>
      <c r="F46" s="2" t="str">
        <f>IF($B46="","",VLOOKUP($B46,Daten!$B$8:$E$56,2,FALSE))</f>
        <v>1 capo</v>
      </c>
      <c r="G46" s="98"/>
      <c r="H46" s="100"/>
      <c r="I46" s="100"/>
      <c r="J46" s="626">
        <f t="shared" si="0"/>
        <v>0</v>
      </c>
      <c r="K46" s="627">
        <f>IF($B46="","",VLOOKUP($B46,Daten!$B$8:$E$56,4,FALSE))</f>
        <v>30</v>
      </c>
      <c r="L46" s="630" t="str">
        <f t="shared" si="3"/>
        <v/>
      </c>
      <c r="M46" s="100"/>
      <c r="N46" s="100"/>
      <c r="O46" s="100"/>
      <c r="P46" s="630">
        <f t="shared" si="1"/>
        <v>0</v>
      </c>
      <c r="Q46" s="630" t="str">
        <f t="shared" si="2"/>
        <v/>
      </c>
      <c r="R46" s="272"/>
      <c r="S46" s="48"/>
      <c r="T46" s="48"/>
      <c r="U46" s="134"/>
      <c r="X46" s="135" t="s">
        <v>1111</v>
      </c>
      <c r="Y46" s="449">
        <f>IF(Y45&lt;Y51,(Y51-Y45)*1.2,IF(Y45&gt;Y52,(Y45-Y52)*-1.2,0))/100</f>
        <v>0</v>
      </c>
      <c r="Z46" s="135"/>
      <c r="AA46" s="255"/>
      <c r="AB46" s="136"/>
      <c r="AC46" s="137"/>
      <c r="AD46" s="137"/>
      <c r="AE46" s="137"/>
      <c r="AF46" s="149"/>
      <c r="AG46" s="152"/>
      <c r="AJ46" s="149"/>
      <c r="AK46" s="188"/>
      <c r="AL46" s="680"/>
      <c r="AM46" s="681"/>
      <c r="AN46" s="681"/>
      <c r="AO46" s="682"/>
      <c r="AP46" s="158"/>
      <c r="AQ46" s="158"/>
      <c r="AR46" s="158"/>
      <c r="AS46" s="158"/>
      <c r="AT46" s="158"/>
      <c r="AU46" s="158"/>
    </row>
    <row r="47" spans="1:51" ht="12.75" customHeight="1">
      <c r="A47" s="49"/>
      <c r="B47" s="259" t="str">
        <f>Texte!A132</f>
        <v>Vitelli da ingrasso (50-200 kg)</v>
      </c>
      <c r="C47" s="257"/>
      <c r="D47" s="257"/>
      <c r="E47" s="257"/>
      <c r="F47" s="2" t="str">
        <f>IF($B47="","",VLOOKUP($B47,Daten!$B$8:$E$56,2,FALSE))</f>
        <v>1 posta</v>
      </c>
      <c r="G47" s="98"/>
      <c r="H47" s="100"/>
      <c r="I47" s="100"/>
      <c r="J47" s="626">
        <f t="shared" si="0"/>
        <v>0</v>
      </c>
      <c r="K47" s="627">
        <f>IF($B47="","",VLOOKUP($B47,Daten!$B$8:$E$56,4,FALSE))</f>
        <v>1.2</v>
      </c>
      <c r="L47" s="630" t="str">
        <f t="shared" si="3"/>
        <v/>
      </c>
      <c r="M47" s="100"/>
      <c r="N47" s="100"/>
      <c r="O47" s="100"/>
      <c r="P47" s="630">
        <f t="shared" si="1"/>
        <v>0</v>
      </c>
      <c r="Q47" s="630" t="str">
        <f t="shared" si="2"/>
        <v/>
      </c>
      <c r="R47" s="272"/>
      <c r="S47" s="48"/>
      <c r="T47" s="48"/>
      <c r="U47" s="134"/>
      <c r="X47" s="135" t="s">
        <v>1112</v>
      </c>
      <c r="Y47" s="449">
        <f>IF(Y48&lt;Y54,(Y54-Y48)*1.2,IF(Y48&gt;Y55,(Y48-Y55)*-1.2,0))/100</f>
        <v>0</v>
      </c>
      <c r="Z47" s="135"/>
      <c r="AA47" s="255"/>
      <c r="AB47" s="136"/>
      <c r="AC47" s="137"/>
      <c r="AD47" s="137"/>
      <c r="AE47" s="137"/>
      <c r="AF47" s="149"/>
      <c r="AG47" s="152"/>
      <c r="AJ47" s="149"/>
      <c r="AK47" s="188"/>
      <c r="AL47" s="158"/>
      <c r="AM47" s="158"/>
      <c r="AN47" s="158"/>
      <c r="AO47" s="158"/>
      <c r="AP47" s="158"/>
      <c r="AQ47" s="158"/>
      <c r="AR47" s="158"/>
      <c r="AS47" s="158"/>
      <c r="AT47" s="158"/>
    </row>
    <row r="48" spans="1:51" ht="12.75" customHeight="1">
      <c r="A48" s="49"/>
      <c r="B48" s="259" t="str">
        <f>Texte!A128</f>
        <v>Vacche madri leggere (&lt;600 kg)</v>
      </c>
      <c r="C48" s="257"/>
      <c r="D48" s="257"/>
      <c r="E48" s="257"/>
      <c r="F48" s="2" t="str">
        <f>IF($B48="","",VLOOKUP($B48,Daten!$B$8:$E$56,2,FALSE))</f>
        <v>1 capo</v>
      </c>
      <c r="G48" s="98"/>
      <c r="H48" s="100"/>
      <c r="I48" s="100"/>
      <c r="J48" s="626">
        <f t="shared" si="0"/>
        <v>0</v>
      </c>
      <c r="K48" s="627">
        <f>IF($B48="","",VLOOKUP($B48,Daten!$B$8:$E$56,4,FALSE))</f>
        <v>38</v>
      </c>
      <c r="L48" s="630" t="str">
        <f t="shared" si="3"/>
        <v/>
      </c>
      <c r="M48" s="100"/>
      <c r="N48" s="100"/>
      <c r="O48" s="100"/>
      <c r="P48" s="630">
        <f t="shared" si="1"/>
        <v>0</v>
      </c>
      <c r="Q48" s="630" t="str">
        <f t="shared" si="2"/>
        <v/>
      </c>
      <c r="R48" s="272"/>
      <c r="S48" s="48"/>
      <c r="T48" s="48"/>
      <c r="U48" s="134"/>
      <c r="X48" s="314" t="s">
        <v>270</v>
      </c>
      <c r="Y48" s="449">
        <f>IF(G42=0,0,M42/G42*100)</f>
        <v>0</v>
      </c>
      <c r="Z48" s="135"/>
      <c r="AA48" s="255"/>
      <c r="AB48" s="136"/>
      <c r="AC48" s="137"/>
      <c r="AD48" s="137"/>
      <c r="AE48" s="137"/>
      <c r="AF48" s="149"/>
      <c r="AG48" s="152"/>
      <c r="AJ48" s="149"/>
      <c r="AK48" s="188"/>
      <c r="AL48" s="158"/>
      <c r="AM48" s="158"/>
      <c r="AN48" s="158"/>
      <c r="AO48" s="158"/>
      <c r="AP48" s="158"/>
      <c r="AQ48" s="158"/>
      <c r="AR48" s="158"/>
      <c r="AS48" s="158"/>
      <c r="AT48" s="158"/>
    </row>
    <row r="49" spans="1:47" ht="12.75" customHeight="1">
      <c r="A49" s="49"/>
      <c r="B49" s="259" t="str">
        <f>Texte!A127</f>
        <v>Vacche madri mezze (600-700 kg)</v>
      </c>
      <c r="C49" s="257"/>
      <c r="D49" s="257"/>
      <c r="E49" s="257"/>
      <c r="F49" s="2" t="str">
        <f>IF($B49="","",VLOOKUP($B49,Daten!$B$8:$E$56,2,FALSE))</f>
        <v>1 capo</v>
      </c>
      <c r="G49" s="98"/>
      <c r="H49" s="100"/>
      <c r="I49" s="100"/>
      <c r="J49" s="626">
        <f t="shared" si="0"/>
        <v>0</v>
      </c>
      <c r="K49" s="627">
        <f>IF($B49="","",VLOOKUP($B49,Daten!$B$8:$E$56,4,FALSE))</f>
        <v>45</v>
      </c>
      <c r="L49" s="630" t="str">
        <f t="shared" si="3"/>
        <v/>
      </c>
      <c r="M49" s="100"/>
      <c r="N49" s="100"/>
      <c r="O49" s="100"/>
      <c r="P49" s="630">
        <f t="shared" si="1"/>
        <v>0</v>
      </c>
      <c r="Q49" s="630" t="str">
        <f t="shared" si="2"/>
        <v/>
      </c>
      <c r="R49" s="272"/>
      <c r="S49" s="48"/>
      <c r="T49" s="48"/>
      <c r="Z49" s="135"/>
      <c r="AA49" s="255"/>
      <c r="AB49" s="136"/>
      <c r="AC49" s="137"/>
      <c r="AD49" s="137"/>
      <c r="AE49" s="137"/>
      <c r="AF49" s="149"/>
      <c r="AG49" s="152"/>
      <c r="AJ49" s="149"/>
      <c r="AK49" s="18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</row>
    <row r="50" spans="1:47" ht="12.75" customHeight="1">
      <c r="A50" s="49"/>
      <c r="B50" s="259" t="str">
        <f>Texte!A133</f>
        <v>Vitelli di vacche madri leggeri, circa 350 kg</v>
      </c>
      <c r="C50" s="257"/>
      <c r="D50" s="257"/>
      <c r="E50" s="257"/>
      <c r="F50" s="2" t="str">
        <f>IF($B50="","",VLOOKUP($B50,Daten!$B$8:$E$56,2,FALSE))</f>
        <v>1 posta</v>
      </c>
      <c r="G50" s="98"/>
      <c r="H50" s="100"/>
      <c r="I50" s="100"/>
      <c r="J50" s="626">
        <f t="shared" si="0"/>
        <v>0</v>
      </c>
      <c r="K50" s="627">
        <f>IF($B50="","",VLOOKUP($B50,Daten!$B$8:$E$56,4,FALSE))</f>
        <v>13.2</v>
      </c>
      <c r="L50" s="630" t="str">
        <f t="shared" si="3"/>
        <v/>
      </c>
      <c r="M50" s="100"/>
      <c r="N50" s="100"/>
      <c r="O50" s="100"/>
      <c r="P50" s="630">
        <f t="shared" si="1"/>
        <v>0</v>
      </c>
      <c r="Q50" s="630" t="str">
        <f t="shared" si="2"/>
        <v/>
      </c>
      <c r="R50" s="272"/>
      <c r="S50" s="48"/>
      <c r="T50" s="48"/>
      <c r="X50" s="135"/>
      <c r="Y50" s="260"/>
      <c r="Z50" s="135"/>
      <c r="AA50" s="255"/>
      <c r="AB50" s="136"/>
      <c r="AC50" s="137"/>
      <c r="AD50" s="137"/>
      <c r="AE50" s="137"/>
      <c r="AF50" s="149"/>
      <c r="AG50" s="152"/>
      <c r="AJ50" s="149"/>
      <c r="AK50" s="188"/>
      <c r="AL50" s="214"/>
      <c r="AM50" s="158"/>
      <c r="AN50" s="158"/>
      <c r="AO50" s="215"/>
      <c r="AP50" s="158"/>
      <c r="AQ50" s="158"/>
      <c r="AR50" s="158"/>
      <c r="AS50" s="158"/>
      <c r="AT50" s="158"/>
      <c r="AU50" s="158"/>
    </row>
    <row r="51" spans="1:47" ht="12.75" customHeight="1">
      <c r="A51" s="49"/>
      <c r="B51" s="259" t="str">
        <f>Texte!A126</f>
        <v>Vacche madri pesanti (700-800 kg)</v>
      </c>
      <c r="C51" s="257"/>
      <c r="D51" s="257"/>
      <c r="E51" s="257"/>
      <c r="F51" s="2" t="str">
        <f>IF($B51="","",VLOOKUP($B51,Daten!$B$8:$E$56,2,FALSE))</f>
        <v>1 capo</v>
      </c>
      <c r="G51" s="98"/>
      <c r="H51" s="100"/>
      <c r="I51" s="100"/>
      <c r="J51" s="626">
        <f t="shared" si="0"/>
        <v>0</v>
      </c>
      <c r="K51" s="627">
        <f>IF($B51="","",VLOOKUP($B51,Daten!$B$8:$E$56,4,FALSE))</f>
        <v>50</v>
      </c>
      <c r="L51" s="630" t="str">
        <f t="shared" si="3"/>
        <v/>
      </c>
      <c r="M51" s="100"/>
      <c r="N51" s="100"/>
      <c r="O51" s="100"/>
      <c r="P51" s="630">
        <f t="shared" si="1"/>
        <v>0</v>
      </c>
      <c r="Q51" s="630" t="str">
        <f t="shared" si="2"/>
        <v/>
      </c>
      <c r="R51" s="272"/>
      <c r="S51" s="48"/>
      <c r="T51" s="48"/>
      <c r="X51" s="135" t="s">
        <v>1109</v>
      </c>
      <c r="Y51" s="449">
        <f>LOOKUP($E$41,W33:W44,X33:X44)</f>
        <v>0</v>
      </c>
      <c r="Z51" s="135"/>
      <c r="AA51" s="255"/>
      <c r="AB51" s="136"/>
      <c r="AC51" s="137"/>
      <c r="AD51" s="137"/>
      <c r="AE51" s="137"/>
      <c r="AF51" s="149"/>
      <c r="AG51" s="152"/>
      <c r="AJ51" s="149"/>
      <c r="AK51" s="188"/>
      <c r="AL51" s="680"/>
      <c r="AM51" s="681"/>
      <c r="AN51" s="681"/>
      <c r="AO51" s="682"/>
      <c r="AP51" s="158"/>
      <c r="AQ51" s="158"/>
      <c r="AR51" s="158"/>
      <c r="AS51" s="158"/>
      <c r="AT51" s="158"/>
      <c r="AU51" s="158"/>
    </row>
    <row r="52" spans="1:47" ht="12.75" customHeight="1">
      <c r="A52" s="49"/>
      <c r="B52" s="259" t="str">
        <f>Texte!A134</f>
        <v>Vitelli di vacche madri pesanti, circa 400 kg</v>
      </c>
      <c r="C52" s="257"/>
      <c r="D52" s="257"/>
      <c r="E52" s="257"/>
      <c r="F52" s="2" t="str">
        <f>IF($B52="","",VLOOKUP($B52,Daten!$B$8:$E$56,2,FALSE))</f>
        <v>1 posta</v>
      </c>
      <c r="G52" s="98"/>
      <c r="H52" s="100"/>
      <c r="I52" s="100"/>
      <c r="J52" s="626">
        <f t="shared" si="0"/>
        <v>0</v>
      </c>
      <c r="K52" s="627">
        <f>IF($B52="","",VLOOKUP($B52,Daten!$B$8:$E$56,4,FALSE))</f>
        <v>19.2</v>
      </c>
      <c r="L52" s="630" t="str">
        <f t="shared" si="3"/>
        <v/>
      </c>
      <c r="M52" s="100"/>
      <c r="N52" s="100"/>
      <c r="O52" s="100"/>
      <c r="P52" s="630">
        <f t="shared" si="1"/>
        <v>0</v>
      </c>
      <c r="Q52" s="630" t="str">
        <f t="shared" si="2"/>
        <v/>
      </c>
      <c r="R52" s="272"/>
      <c r="S52" s="48"/>
      <c r="T52" s="48"/>
      <c r="X52" s="135"/>
      <c r="Y52" s="449">
        <f>LOOKUP($E$41,W33:W44,Y33:Y44)</f>
        <v>500</v>
      </c>
      <c r="Z52" s="135"/>
      <c r="AA52" s="255"/>
      <c r="AB52" s="136"/>
      <c r="AC52" s="137"/>
      <c r="AD52" s="137"/>
      <c r="AE52" s="137"/>
      <c r="AF52" s="149"/>
      <c r="AG52" s="152"/>
      <c r="AJ52" s="149"/>
      <c r="AK52" s="188"/>
      <c r="AL52" s="158"/>
      <c r="AM52" s="158"/>
      <c r="AN52" s="158"/>
      <c r="AO52" s="158"/>
      <c r="AP52" s="158"/>
      <c r="AQ52" s="158"/>
      <c r="AR52" s="158"/>
      <c r="AS52" s="158"/>
      <c r="AT52" s="158"/>
    </row>
    <row r="53" spans="1:47" ht="12.75" customHeight="1">
      <c r="A53" s="49"/>
      <c r="B53" s="259" t="str">
        <f>Texte!A135</f>
        <v>Bovini da ingrasso, intensivo, 65-520 kg</v>
      </c>
      <c r="C53" s="257"/>
      <c r="D53" s="257"/>
      <c r="E53" s="257"/>
      <c r="F53" s="2" t="str">
        <f>IF($B53="","",VLOOKUP($B53,Daten!$B$8:$E$56,2,FALSE))</f>
        <v>1 Platz</v>
      </c>
      <c r="G53" s="98"/>
      <c r="H53" s="100"/>
      <c r="I53" s="100"/>
      <c r="J53" s="626">
        <f t="shared" si="0"/>
        <v>0</v>
      </c>
      <c r="K53" s="627">
        <f>IF($B53="","",VLOOKUP($B53,Daten!$B$8:$E$56,4,FALSE))</f>
        <v>14</v>
      </c>
      <c r="L53" s="630" t="str">
        <f t="shared" si="3"/>
        <v/>
      </c>
      <c r="M53" s="100"/>
      <c r="N53" s="100"/>
      <c r="O53" s="100"/>
      <c r="P53" s="630">
        <f t="shared" si="1"/>
        <v>0</v>
      </c>
      <c r="Q53" s="630" t="str">
        <f t="shared" si="2"/>
        <v/>
      </c>
      <c r="R53" s="272"/>
      <c r="S53" s="48"/>
      <c r="T53" s="48"/>
      <c r="X53" s="135"/>
      <c r="Y53" s="262"/>
      <c r="Z53" s="135"/>
      <c r="AA53" s="255"/>
      <c r="AB53" s="136"/>
      <c r="AC53" s="137"/>
      <c r="AD53" s="137"/>
      <c r="AE53" s="137"/>
      <c r="AF53" s="149"/>
      <c r="AG53" s="152"/>
      <c r="AJ53" s="149"/>
      <c r="AK53" s="18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</row>
    <row r="54" spans="1:47" ht="12.75" customHeight="1">
      <c r="A54" s="263"/>
      <c r="B54" s="687"/>
      <c r="C54" s="688"/>
      <c r="D54" s="688"/>
      <c r="E54" s="688"/>
      <c r="F54" s="2" t="str">
        <f>IF($B54="","",VLOOKUP($B54,Daten!$B$8:$E$56,2,FALSE))</f>
        <v/>
      </c>
      <c r="G54" s="98"/>
      <c r="H54" s="100"/>
      <c r="I54" s="100"/>
      <c r="J54" s="626">
        <f t="shared" si="0"/>
        <v>0</v>
      </c>
      <c r="K54" s="627" t="str">
        <f>IF($B54="","",VLOOKUP($B54,Daten!$B$8:$E$56,4,FALSE))</f>
        <v/>
      </c>
      <c r="L54" s="630" t="str">
        <f t="shared" si="3"/>
        <v/>
      </c>
      <c r="M54" s="100"/>
      <c r="N54" s="100"/>
      <c r="O54" s="100"/>
      <c r="P54" s="630">
        <f t="shared" si="1"/>
        <v>0</v>
      </c>
      <c r="Q54" s="630" t="str">
        <f t="shared" si="2"/>
        <v/>
      </c>
      <c r="R54" s="272"/>
      <c r="S54" s="48"/>
      <c r="T54" s="48"/>
      <c r="X54" s="135" t="s">
        <v>1108</v>
      </c>
      <c r="Y54" s="449">
        <f>LOOKUP($E$42,$W33:$W44,$X33:$X44)</f>
        <v>0</v>
      </c>
      <c r="Z54" s="135"/>
      <c r="AA54" s="255"/>
      <c r="AB54" s="136"/>
      <c r="AC54" s="137"/>
      <c r="AD54" s="137"/>
      <c r="AE54" s="137"/>
      <c r="AF54" s="149"/>
      <c r="AG54" s="152"/>
      <c r="AJ54" s="149"/>
      <c r="AK54" s="188"/>
      <c r="AL54" s="680"/>
      <c r="AM54" s="681"/>
      <c r="AN54" s="681"/>
      <c r="AO54" s="682"/>
      <c r="AP54" s="158"/>
      <c r="AQ54" s="158"/>
      <c r="AR54" s="158"/>
      <c r="AS54" s="158"/>
      <c r="AT54" s="158"/>
      <c r="AU54" s="158"/>
    </row>
    <row r="55" spans="1:47" ht="12.75" customHeight="1">
      <c r="A55" s="263"/>
      <c r="B55" s="687"/>
      <c r="C55" s="688"/>
      <c r="D55" s="688"/>
      <c r="E55" s="688"/>
      <c r="F55" s="2" t="str">
        <f>IF($B55="","",VLOOKUP($B55,Daten!$B$8:$E$56,2,FALSE))</f>
        <v/>
      </c>
      <c r="G55" s="98"/>
      <c r="H55" s="100"/>
      <c r="I55" s="100"/>
      <c r="J55" s="626">
        <f t="shared" si="0"/>
        <v>0</v>
      </c>
      <c r="K55" s="627" t="str">
        <f>IF($B55="","",VLOOKUP($B55,Daten!$B$8:$E$56,4,FALSE))</f>
        <v/>
      </c>
      <c r="L55" s="630" t="str">
        <f t="shared" si="3"/>
        <v/>
      </c>
      <c r="M55" s="100"/>
      <c r="N55" s="100"/>
      <c r="O55" s="100"/>
      <c r="P55" s="630">
        <f t="shared" si="1"/>
        <v>0</v>
      </c>
      <c r="Q55" s="630" t="str">
        <f t="shared" si="2"/>
        <v/>
      </c>
      <c r="R55" s="272"/>
      <c r="S55" s="48"/>
      <c r="T55" s="48"/>
      <c r="X55" s="254"/>
      <c r="Y55" s="449">
        <f>LOOKUP($E$42,$W33:$W44,$Y33:$Y44)</f>
        <v>500</v>
      </c>
      <c r="Z55" s="135"/>
      <c r="AA55" s="255"/>
      <c r="AB55" s="136"/>
      <c r="AC55" s="137"/>
      <c r="AD55" s="137"/>
      <c r="AE55" s="137"/>
      <c r="AF55" s="149"/>
      <c r="AG55" s="152"/>
      <c r="AJ55" s="149"/>
      <c r="AK55" s="188"/>
      <c r="AL55" s="158"/>
      <c r="AM55" s="158"/>
      <c r="AN55" s="158"/>
      <c r="AO55" s="158"/>
      <c r="AP55" s="158"/>
      <c r="AQ55" s="158"/>
      <c r="AR55" s="158"/>
      <c r="AS55" s="158"/>
      <c r="AT55" s="158"/>
    </row>
    <row r="56" spans="1:47" ht="12.75" customHeight="1">
      <c r="A56" s="263"/>
      <c r="B56" s="687"/>
      <c r="C56" s="688"/>
      <c r="D56" s="688"/>
      <c r="E56" s="688"/>
      <c r="F56" s="2" t="str">
        <f>IF($B56="","",VLOOKUP($B56,Daten!$B$8:$E$56,2,FALSE))</f>
        <v/>
      </c>
      <c r="G56" s="98"/>
      <c r="H56" s="100"/>
      <c r="I56" s="100"/>
      <c r="J56" s="626">
        <f t="shared" si="0"/>
        <v>0</v>
      </c>
      <c r="K56" s="627" t="str">
        <f>IF($B56="","",VLOOKUP($B56,Daten!$B$8:$E$56,4,FALSE))</f>
        <v/>
      </c>
      <c r="L56" s="630" t="str">
        <f t="shared" si="3"/>
        <v/>
      </c>
      <c r="M56" s="100"/>
      <c r="N56" s="100"/>
      <c r="O56" s="100"/>
      <c r="P56" s="630">
        <f t="shared" si="1"/>
        <v>0</v>
      </c>
      <c r="Q56" s="630" t="str">
        <f t="shared" si="2"/>
        <v/>
      </c>
      <c r="R56" s="272"/>
      <c r="S56" s="48"/>
      <c r="T56" s="48"/>
      <c r="V56" s="254"/>
      <c r="W56" s="200"/>
      <c r="X56" s="201"/>
      <c r="Y56" s="201"/>
      <c r="Z56" s="135"/>
      <c r="AA56" s="255"/>
      <c r="AB56" s="136"/>
      <c r="AC56" s="137"/>
      <c r="AD56" s="137"/>
      <c r="AE56" s="137"/>
      <c r="AF56" s="149"/>
      <c r="AG56" s="152"/>
      <c r="AJ56" s="149"/>
      <c r="AK56" s="18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</row>
    <row r="57" spans="1:47" ht="12.75" customHeight="1">
      <c r="A57" s="263"/>
      <c r="B57" s="687"/>
      <c r="C57" s="688"/>
      <c r="D57" s="688"/>
      <c r="E57" s="688"/>
      <c r="F57" s="2" t="str">
        <f>IF($B57="","",VLOOKUP($B57,Daten!$B$8:$E$56,2,FALSE))</f>
        <v/>
      </c>
      <c r="G57" s="98"/>
      <c r="H57" s="100"/>
      <c r="I57" s="100"/>
      <c r="J57" s="626">
        <f>IF(OR(AND(H57&lt;0,G57&lt;ABS(H57)),I57&gt;365),"!",G57+(H57*I57/365))</f>
        <v>0</v>
      </c>
      <c r="K57" s="627" t="str">
        <f>IF($B57="","",VLOOKUP($B57,Daten!$B$8:$E$56,4,FALSE))</f>
        <v/>
      </c>
      <c r="L57" s="630" t="str">
        <f>IF(J57&gt;0,J57*K57,"")</f>
        <v/>
      </c>
      <c r="M57" s="100"/>
      <c r="N57" s="100"/>
      <c r="O57" s="100"/>
      <c r="P57" s="630">
        <f t="shared" si="1"/>
        <v>0</v>
      </c>
      <c r="Q57" s="630" t="str">
        <f t="shared" si="2"/>
        <v/>
      </c>
      <c r="R57" s="272"/>
      <c r="S57" s="428"/>
      <c r="T57" s="48"/>
      <c r="U57" s="134"/>
      <c r="Z57" s="135"/>
      <c r="AA57" s="255"/>
      <c r="AB57" s="136"/>
      <c r="AC57" s="137"/>
      <c r="AD57" s="137"/>
      <c r="AE57" s="137"/>
      <c r="AF57" s="149"/>
      <c r="AG57" s="152"/>
      <c r="AJ57" s="149"/>
      <c r="AK57" s="158"/>
      <c r="AL57" s="214"/>
      <c r="AM57" s="158"/>
      <c r="AN57" s="158"/>
      <c r="AO57" s="215"/>
      <c r="AP57" s="158"/>
      <c r="AQ57" s="158"/>
      <c r="AR57" s="158"/>
      <c r="AS57" s="158"/>
      <c r="AT57" s="158"/>
      <c r="AU57" s="158"/>
    </row>
    <row r="58" spans="1:47" ht="12.75" customHeight="1">
      <c r="A58" s="263"/>
      <c r="B58" s="264" t="str">
        <f>Texte!A142</f>
        <v xml:space="preserve">Altri animali che consumano foraggio grezzo </v>
      </c>
      <c r="C58" s="265"/>
      <c r="D58" s="265"/>
      <c r="E58" s="265"/>
      <c r="F58" s="68"/>
      <c r="G58" s="69"/>
      <c r="H58" s="70"/>
      <c r="I58" s="70"/>
      <c r="J58" s="266"/>
      <c r="K58" s="71"/>
      <c r="L58" s="267"/>
      <c r="M58" s="72"/>
      <c r="N58" s="70"/>
      <c r="O58" s="70"/>
      <c r="P58" s="267"/>
      <c r="Q58" s="267"/>
      <c r="R58" s="72"/>
      <c r="S58" s="429"/>
      <c r="T58" s="48"/>
      <c r="U58" s="134"/>
      <c r="Z58" s="135"/>
      <c r="AA58" s="255"/>
      <c r="AB58" s="136"/>
      <c r="AC58" s="137"/>
      <c r="AD58" s="137"/>
      <c r="AE58" s="137"/>
      <c r="AF58" s="149"/>
      <c r="AG58" s="152"/>
      <c r="AJ58" s="149"/>
      <c r="AK58" s="158"/>
      <c r="AL58" s="214"/>
      <c r="AM58" s="158"/>
      <c r="AN58" s="158"/>
      <c r="AO58" s="215"/>
      <c r="AP58" s="158"/>
      <c r="AQ58" s="158"/>
      <c r="AR58" s="158"/>
      <c r="AS58" s="158"/>
      <c r="AT58" s="158"/>
      <c r="AU58" s="158"/>
    </row>
    <row r="59" spans="1:47" ht="12.75" customHeight="1">
      <c r="A59" s="49"/>
      <c r="B59" s="685" t="str">
        <f>Texte!A150</f>
        <v>Pecore da latte (incl. bestiame giovane)</v>
      </c>
      <c r="C59" s="686"/>
      <c r="D59" s="686"/>
      <c r="E59" s="686"/>
      <c r="F59" s="2" t="str">
        <f>IF($B59="","",VLOOKUP($B59,Daten!$B$8:$E$56,2,FALSE))</f>
        <v>1 posta</v>
      </c>
      <c r="G59" s="98"/>
      <c r="H59" s="100"/>
      <c r="I59" s="100"/>
      <c r="J59" s="626">
        <f>IF(OR(AND(H59&lt;0,G59&lt;ABS(H59)),I59&gt;365),"!",G59+(H59*I59/365))</f>
        <v>0</v>
      </c>
      <c r="K59" s="627">
        <f>IF($B59="","",VLOOKUP($B59,Daten!$B$8:$E$56,4,FALSE))</f>
        <v>11</v>
      </c>
      <c r="L59" s="630" t="str">
        <f>IF(J59&gt;0,J59*K59,"")</f>
        <v/>
      </c>
      <c r="M59" s="100"/>
      <c r="N59" s="100"/>
      <c r="O59" s="100"/>
      <c r="P59" s="630">
        <f t="shared" si="1"/>
        <v>0</v>
      </c>
      <c r="Q59" s="630" t="str">
        <f t="shared" ref="Q59:Q64" si="4">IF($N59=0,"",$K59*$P59/365)</f>
        <v/>
      </c>
      <c r="R59" s="100"/>
      <c r="S59" s="564" t="str">
        <f>IF(R59=0,"",IF(R59&gt;N59*O59*AB33/100,Texte!A181,""))</f>
        <v/>
      </c>
      <c r="T59" s="48"/>
      <c r="U59" s="134"/>
      <c r="V59" s="254"/>
      <c r="W59" s="181"/>
      <c r="X59" s="261"/>
      <c r="Y59" s="261"/>
      <c r="Z59" s="135"/>
      <c r="AA59" s="255"/>
      <c r="AB59" s="136"/>
      <c r="AC59" s="137"/>
      <c r="AD59" s="137"/>
      <c r="AE59" s="137"/>
      <c r="AF59" s="149"/>
      <c r="AG59" s="152"/>
      <c r="AJ59" s="149"/>
      <c r="AK59" s="158"/>
      <c r="AL59" s="680"/>
      <c r="AM59" s="681"/>
      <c r="AN59" s="681"/>
      <c r="AO59" s="682"/>
      <c r="AP59" s="158"/>
      <c r="AQ59" s="158"/>
      <c r="AR59" s="158"/>
      <c r="AS59" s="158"/>
      <c r="AT59" s="158"/>
      <c r="AU59" s="158"/>
    </row>
    <row r="60" spans="1:47" ht="12.75" customHeight="1">
      <c r="A60" s="49"/>
      <c r="B60" s="693" t="str">
        <f>Texte!A148</f>
        <v>Capra (incl. bestiame giovane e parte del becco)</v>
      </c>
      <c r="C60" s="694"/>
      <c r="D60" s="694"/>
      <c r="E60" s="694"/>
      <c r="F60" s="2" t="str">
        <f>IF($B60="","",VLOOKUP($B60,Daten!$B$8:$E$56,2,FALSE))</f>
        <v>1 posta</v>
      </c>
      <c r="G60" s="98"/>
      <c r="H60" s="100"/>
      <c r="I60" s="100"/>
      <c r="J60" s="626">
        <f t="shared" si="0"/>
        <v>0</v>
      </c>
      <c r="K60" s="627">
        <f>IF($B60="","",VLOOKUP($B60,Daten!$B$8:$E$56,4,FALSE))</f>
        <v>6.8</v>
      </c>
      <c r="L60" s="630" t="str">
        <f t="shared" ref="L60:L73" si="5">IF(J60&gt;0,J60*K60,"")</f>
        <v/>
      </c>
      <c r="M60" s="100"/>
      <c r="N60" s="100"/>
      <c r="O60" s="100"/>
      <c r="P60" s="630">
        <f t="shared" si="1"/>
        <v>0</v>
      </c>
      <c r="Q60" s="630" t="str">
        <f t="shared" si="4"/>
        <v/>
      </c>
      <c r="R60" s="100"/>
      <c r="S60" s="564" t="str">
        <f>IF(R60=0,"",IF(R60&gt;N60*O60*AB34/100,Texte!A181,""))</f>
        <v/>
      </c>
      <c r="T60" s="48"/>
      <c r="U60" s="138"/>
      <c r="V60" s="138"/>
      <c r="W60" s="181"/>
      <c r="X60" s="138"/>
      <c r="Y60" s="138"/>
      <c r="Z60" s="135"/>
      <c r="AA60" s="255"/>
      <c r="AB60" s="136"/>
      <c r="AC60" s="137"/>
      <c r="AD60" s="137"/>
      <c r="AE60" s="137"/>
      <c r="AF60" s="139"/>
      <c r="AG60" s="268"/>
      <c r="AH60" s="160"/>
      <c r="AI60" s="160"/>
      <c r="AJ60" s="160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</row>
    <row r="61" spans="1:47" ht="12.75" customHeight="1">
      <c r="A61" s="49"/>
      <c r="B61" s="687"/>
      <c r="C61" s="688"/>
      <c r="D61" s="688"/>
      <c r="E61" s="688"/>
      <c r="F61" s="2" t="str">
        <f>IF($B61="","",VLOOKUP($B61,Daten!$B$8:$E$56,2,FALSE))</f>
        <v/>
      </c>
      <c r="G61" s="98"/>
      <c r="H61" s="100"/>
      <c r="I61" s="100"/>
      <c r="J61" s="626">
        <f t="shared" si="0"/>
        <v>0</v>
      </c>
      <c r="K61" s="627" t="str">
        <f>IF($B61="","",VLOOKUP($B61,Daten!$B$8:$E$56,4,FALSE))</f>
        <v/>
      </c>
      <c r="L61" s="630" t="str">
        <f t="shared" si="5"/>
        <v/>
      </c>
      <c r="M61" s="100"/>
      <c r="N61" s="100"/>
      <c r="O61" s="100"/>
      <c r="P61" s="630">
        <f t="shared" si="1"/>
        <v>0</v>
      </c>
      <c r="Q61" s="630" t="str">
        <f t="shared" si="4"/>
        <v/>
      </c>
      <c r="R61" s="272"/>
      <c r="S61" s="445"/>
      <c r="T61" s="48"/>
      <c r="U61" s="138"/>
      <c r="V61" s="138"/>
      <c r="W61" s="181"/>
      <c r="X61" s="138"/>
      <c r="Y61" s="138"/>
      <c r="Z61" s="135"/>
      <c r="AA61" s="255"/>
      <c r="AB61" s="136"/>
      <c r="AC61" s="137"/>
      <c r="AD61" s="137"/>
      <c r="AE61" s="137"/>
      <c r="AF61" s="139"/>
      <c r="AG61" s="268"/>
      <c r="AH61" s="160"/>
      <c r="AI61" s="160"/>
      <c r="AJ61" s="160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</row>
    <row r="62" spans="1:47" ht="12.75" customHeight="1">
      <c r="A62" s="49"/>
      <c r="B62" s="687"/>
      <c r="C62" s="688"/>
      <c r="D62" s="688"/>
      <c r="E62" s="688"/>
      <c r="F62" s="2" t="str">
        <f>IF($B62="","",VLOOKUP($B62,Daten!$B$8:$E$56,2,FALSE))</f>
        <v/>
      </c>
      <c r="G62" s="98"/>
      <c r="H62" s="100"/>
      <c r="I62" s="100"/>
      <c r="J62" s="626">
        <f t="shared" si="0"/>
        <v>0</v>
      </c>
      <c r="K62" s="627" t="str">
        <f>IF($B62="","",VLOOKUP($B62,Daten!$B$8:$E$56,4,FALSE))</f>
        <v/>
      </c>
      <c r="L62" s="630" t="str">
        <f t="shared" si="5"/>
        <v/>
      </c>
      <c r="M62" s="100"/>
      <c r="N62" s="100"/>
      <c r="O62" s="100"/>
      <c r="P62" s="630">
        <f t="shared" si="1"/>
        <v>0</v>
      </c>
      <c r="Q62" s="630" t="str">
        <f t="shared" si="4"/>
        <v/>
      </c>
      <c r="R62" s="272"/>
      <c r="S62" s="445"/>
      <c r="T62" s="48"/>
      <c r="U62" s="138"/>
      <c r="V62" s="138"/>
      <c r="W62" s="181"/>
      <c r="X62" s="138"/>
      <c r="Y62" s="138"/>
      <c r="Z62" s="135"/>
      <c r="AA62" s="255"/>
      <c r="AB62" s="136"/>
      <c r="AC62" s="137"/>
      <c r="AD62" s="137"/>
      <c r="AE62" s="137"/>
      <c r="AF62" s="139"/>
      <c r="AG62" s="268"/>
      <c r="AH62" s="160"/>
      <c r="AI62" s="160"/>
      <c r="AJ62" s="160"/>
      <c r="AK62" s="158"/>
      <c r="AL62" s="214"/>
      <c r="AM62" s="158"/>
      <c r="AN62" s="158"/>
      <c r="AO62" s="215"/>
      <c r="AP62" s="158"/>
      <c r="AQ62" s="158"/>
      <c r="AR62" s="158"/>
      <c r="AS62" s="158"/>
      <c r="AT62" s="158"/>
      <c r="AU62" s="158"/>
    </row>
    <row r="63" spans="1:47" ht="12.75" customHeight="1">
      <c r="A63" s="49"/>
      <c r="B63" s="687"/>
      <c r="C63" s="688"/>
      <c r="D63" s="688"/>
      <c r="E63" s="688"/>
      <c r="F63" s="2" t="str">
        <f>IF($B63="","",VLOOKUP($B63,Daten!$B$8:$E$56,2,FALSE))</f>
        <v/>
      </c>
      <c r="G63" s="98"/>
      <c r="H63" s="100"/>
      <c r="I63" s="100"/>
      <c r="J63" s="626">
        <f t="shared" si="0"/>
        <v>0</v>
      </c>
      <c r="K63" s="627" t="str">
        <f>IF($B63="","",VLOOKUP($B63,Daten!$B$8:$E$56,4,FALSE))</f>
        <v/>
      </c>
      <c r="L63" s="630" t="str">
        <f t="shared" si="5"/>
        <v/>
      </c>
      <c r="M63" s="100"/>
      <c r="N63" s="100"/>
      <c r="O63" s="100"/>
      <c r="P63" s="630">
        <f t="shared" si="1"/>
        <v>0</v>
      </c>
      <c r="Q63" s="630" t="str">
        <f t="shared" si="4"/>
        <v/>
      </c>
      <c r="R63" s="272"/>
      <c r="S63" s="445"/>
      <c r="T63" s="48"/>
      <c r="U63" s="138"/>
      <c r="V63" s="138"/>
      <c r="W63" s="181"/>
      <c r="X63" s="138"/>
      <c r="Y63" s="138"/>
      <c r="Z63" s="135"/>
      <c r="AA63" s="255"/>
      <c r="AB63" s="136"/>
      <c r="AC63" s="137"/>
      <c r="AD63" s="137"/>
      <c r="AE63" s="137"/>
      <c r="AF63" s="139"/>
      <c r="AG63" s="268"/>
      <c r="AH63" s="160"/>
      <c r="AI63" s="160"/>
      <c r="AJ63" s="160"/>
      <c r="AK63" s="158"/>
      <c r="AL63" s="680"/>
      <c r="AM63" s="681"/>
      <c r="AN63" s="681"/>
      <c r="AO63" s="682"/>
      <c r="AP63" s="158"/>
      <c r="AQ63" s="158"/>
      <c r="AR63" s="158"/>
      <c r="AS63" s="158"/>
      <c r="AT63" s="158"/>
      <c r="AU63" s="158"/>
    </row>
    <row r="64" spans="1:47" ht="12.75" customHeight="1">
      <c r="A64" s="49"/>
      <c r="B64" s="691"/>
      <c r="C64" s="692"/>
      <c r="D64" s="692"/>
      <c r="E64" s="692"/>
      <c r="F64" s="57" t="str">
        <f>IF($B64="","",VLOOKUP($B64,Daten!$B$8:$E$56,2,FALSE))</f>
        <v/>
      </c>
      <c r="G64" s="102"/>
      <c r="H64" s="597"/>
      <c r="I64" s="597"/>
      <c r="J64" s="628">
        <f>IF(OR(AND(H64&lt;0,G64&lt;ABS(H64)),I64&gt;365),"!",G64+(H64*I64/365))</f>
        <v>0</v>
      </c>
      <c r="K64" s="629" t="str">
        <f>IF($B64="","",VLOOKUP($B64,Daten!$B$8:$E$56,4,FALSE))</f>
        <v/>
      </c>
      <c r="L64" s="631" t="str">
        <f>IF(J64&gt;0,J64*K64,"")</f>
        <v/>
      </c>
      <c r="M64" s="100"/>
      <c r="N64" s="597"/>
      <c r="O64" s="597"/>
      <c r="P64" s="631">
        <f t="shared" si="1"/>
        <v>0</v>
      </c>
      <c r="Q64" s="630" t="str">
        <f t="shared" si="4"/>
        <v/>
      </c>
      <c r="R64" s="275"/>
      <c r="S64" s="445"/>
      <c r="T64" s="48"/>
      <c r="U64" s="138"/>
      <c r="V64" s="138"/>
      <c r="X64" s="138"/>
      <c r="Z64" s="135"/>
      <c r="AA64" s="255"/>
      <c r="AB64" s="136"/>
      <c r="AC64" s="137"/>
      <c r="AD64" s="137"/>
      <c r="AE64" s="137"/>
      <c r="AF64" s="139"/>
      <c r="AG64" s="268"/>
      <c r="AH64" s="160"/>
      <c r="AI64" s="160"/>
      <c r="AJ64" s="160"/>
      <c r="AK64" s="158"/>
      <c r="AL64" s="231"/>
      <c r="AM64" s="132"/>
      <c r="AN64" s="132"/>
      <c r="AO64" s="133"/>
      <c r="AP64" s="158"/>
      <c r="AQ64" s="158"/>
      <c r="AR64" s="158"/>
      <c r="AS64" s="158"/>
      <c r="AT64" s="158"/>
      <c r="AU64" s="158"/>
    </row>
    <row r="65" spans="1:47" ht="12.75" customHeight="1">
      <c r="A65" s="49"/>
      <c r="C65" s="276"/>
      <c r="D65" s="276"/>
      <c r="E65" s="276"/>
      <c r="F65" s="155"/>
      <c r="G65" s="155"/>
      <c r="H65" s="155"/>
      <c r="I65" s="277"/>
      <c r="J65" s="278"/>
      <c r="K65" s="279"/>
      <c r="L65" s="280">
        <f>SUM(L41:L64)</f>
        <v>0</v>
      </c>
      <c r="M65" s="281">
        <f>SUM(M41:M64)</f>
        <v>0</v>
      </c>
      <c r="N65" s="584"/>
      <c r="O65" s="279"/>
      <c r="P65" s="279"/>
      <c r="Q65" s="281">
        <f>SUM(Q41:Q64)</f>
        <v>0</v>
      </c>
      <c r="R65" s="281">
        <f>SUM(R41:R64)</f>
        <v>0</v>
      </c>
      <c r="S65" s="445"/>
      <c r="T65" s="48"/>
      <c r="U65" s="138"/>
      <c r="V65" s="138"/>
      <c r="W65" s="471"/>
      <c r="X65" s="138"/>
      <c r="Z65" s="135"/>
      <c r="AA65" s="255"/>
      <c r="AB65" s="136"/>
      <c r="AC65" s="137"/>
      <c r="AD65" s="137"/>
      <c r="AE65" s="137"/>
      <c r="AF65" s="139"/>
      <c r="AG65" s="268"/>
      <c r="AH65" s="160"/>
      <c r="AI65" s="160"/>
      <c r="AJ65" s="160"/>
      <c r="AK65" s="158"/>
      <c r="AL65" s="231"/>
      <c r="AM65" s="132"/>
      <c r="AN65" s="132"/>
      <c r="AO65" s="133"/>
      <c r="AP65" s="158"/>
      <c r="AQ65" s="158"/>
      <c r="AR65" s="158"/>
      <c r="AS65" s="158"/>
      <c r="AT65" s="158"/>
      <c r="AU65" s="158"/>
    </row>
    <row r="66" spans="1:47" ht="12.75" customHeight="1">
      <c r="A66" s="49"/>
      <c r="B66" s="587" t="str">
        <f>Texte!A161</f>
        <v>Altre categorie di animali con consumo di FB</v>
      </c>
      <c r="C66" s="588"/>
      <c r="D66" s="588"/>
      <c r="E66" s="588"/>
      <c r="F66" s="589"/>
      <c r="G66" s="590"/>
      <c r="H66" s="591"/>
      <c r="I66" s="591"/>
      <c r="J66" s="592"/>
      <c r="K66" s="593"/>
      <c r="L66" s="594"/>
      <c r="M66" s="595"/>
      <c r="N66" s="592"/>
      <c r="O66" s="593"/>
      <c r="P66" s="594"/>
      <c r="Q66" s="595"/>
      <c r="R66" s="595"/>
      <c r="S66" s="48"/>
      <c r="T66" s="48"/>
      <c r="U66" s="138"/>
      <c r="V66" s="138"/>
      <c r="W66" s="181"/>
      <c r="Z66" s="135"/>
      <c r="AA66" s="255"/>
      <c r="AB66" s="136"/>
      <c r="AC66" s="137"/>
      <c r="AD66" s="137"/>
      <c r="AE66" s="137"/>
      <c r="AF66" s="139"/>
      <c r="AG66" s="268"/>
      <c r="AH66" s="160"/>
      <c r="AI66" s="160"/>
      <c r="AJ66" s="160"/>
      <c r="AK66" s="158"/>
      <c r="AL66" s="231"/>
      <c r="AM66" s="132"/>
      <c r="AN66" s="132"/>
      <c r="AO66" s="133"/>
      <c r="AP66" s="158"/>
      <c r="AQ66" s="158"/>
      <c r="AR66" s="158"/>
      <c r="AS66" s="158"/>
      <c r="AT66" s="158"/>
      <c r="AU66" s="158"/>
    </row>
    <row r="67" spans="1:47" ht="12.75" customHeight="1">
      <c r="A67" s="49"/>
      <c r="B67" s="585"/>
      <c r="C67" s="586"/>
      <c r="D67" s="586"/>
      <c r="E67" s="586"/>
      <c r="F67" s="208"/>
      <c r="G67" s="208"/>
      <c r="H67" s="209"/>
      <c r="J67" s="210"/>
      <c r="K67" s="211" t="str">
        <f>Texte!A99</f>
        <v>Consumo</v>
      </c>
      <c r="L67" s="212"/>
      <c r="M67" s="211" t="str">
        <f>Texte!A162</f>
        <v>Erba da</v>
      </c>
      <c r="N67" s="271"/>
      <c r="O67" s="271"/>
      <c r="P67" s="271"/>
      <c r="Q67" s="271"/>
      <c r="R67" s="271"/>
      <c r="S67" s="48"/>
      <c r="T67" s="48"/>
      <c r="U67" s="138"/>
      <c r="V67" s="138"/>
      <c r="W67" s="181"/>
      <c r="Y67" s="138"/>
      <c r="Z67" s="135"/>
      <c r="AA67" s="255"/>
      <c r="AB67" s="136"/>
      <c r="AC67" s="137"/>
      <c r="AD67" s="137"/>
      <c r="AE67" s="137"/>
      <c r="AF67" s="139"/>
      <c r="AG67" s="268"/>
      <c r="AH67" s="160"/>
      <c r="AI67" s="160"/>
      <c r="AJ67" s="160"/>
      <c r="AK67" s="158"/>
      <c r="AL67" s="231"/>
      <c r="AM67" s="132"/>
      <c r="AN67" s="132"/>
      <c r="AO67" s="133"/>
      <c r="AP67" s="158"/>
      <c r="AQ67" s="158"/>
      <c r="AR67" s="158"/>
      <c r="AS67" s="158"/>
      <c r="AT67" s="158"/>
      <c r="AU67" s="158"/>
    </row>
    <row r="68" spans="1:47" ht="12.75" customHeight="1">
      <c r="A68" s="49"/>
      <c r="B68" s="585"/>
      <c r="C68" s="586"/>
      <c r="D68" s="586"/>
      <c r="E68" s="586"/>
      <c r="F68" s="219"/>
      <c r="H68" s="220" t="str">
        <f>Texte!A92</f>
        <v>Deduzione /</v>
      </c>
      <c r="I68" s="221"/>
      <c r="J68" s="222" t="str">
        <f>Texte!A96</f>
        <v>Numero</v>
      </c>
      <c r="K68" s="223" t="str">
        <f>Texte!A100</f>
        <v>di foraggio di base</v>
      </c>
      <c r="L68" s="224"/>
      <c r="M68" s="225" t="str">
        <f>Texte!A163</f>
        <v>prati e pascoli</v>
      </c>
      <c r="N68" s="272"/>
      <c r="O68" s="272"/>
      <c r="P68" s="272"/>
      <c r="Q68" s="272"/>
      <c r="R68" s="272"/>
      <c r="S68" s="48"/>
      <c r="T68" s="48"/>
      <c r="U68" s="138"/>
      <c r="V68" s="138"/>
      <c r="W68" s="181"/>
      <c r="Y68" s="138"/>
      <c r="Z68" s="135"/>
      <c r="AA68" s="255"/>
      <c r="AB68" s="136"/>
      <c r="AC68" s="137"/>
      <c r="AD68" s="137"/>
      <c r="AE68" s="137"/>
      <c r="AF68" s="139"/>
      <c r="AG68" s="268"/>
      <c r="AH68" s="160"/>
      <c r="AI68" s="160"/>
      <c r="AJ68" s="160"/>
      <c r="AK68" s="158"/>
      <c r="AL68" s="231"/>
      <c r="AM68" s="132"/>
      <c r="AN68" s="132"/>
      <c r="AO68" s="133"/>
      <c r="AP68" s="158"/>
      <c r="AQ68" s="158"/>
      <c r="AR68" s="158"/>
      <c r="AS68" s="158"/>
      <c r="AT68" s="158"/>
      <c r="AU68" s="158"/>
    </row>
    <row r="69" spans="1:47" ht="12.75" customHeight="1">
      <c r="A69" s="49"/>
      <c r="B69" s="585"/>
      <c r="C69" s="586"/>
      <c r="D69" s="586"/>
      <c r="E69" s="586"/>
      <c r="F69" s="219" t="str">
        <f>Texte!A90</f>
        <v>Unità</v>
      </c>
      <c r="G69" s="219" t="str">
        <f>Texte!A91</f>
        <v>Numero</v>
      </c>
      <c r="H69" s="220" t="str">
        <f>Texte!A93</f>
        <v>supplemento</v>
      </c>
      <c r="I69" s="233"/>
      <c r="J69" s="222" t="str">
        <f>Texte!A97</f>
        <v>Corretto</v>
      </c>
      <c r="K69" s="234" t="str">
        <f>Texte!A104</f>
        <v>q SS</v>
      </c>
      <c r="L69" s="234" t="str">
        <f>Texte!A104</f>
        <v>q SS</v>
      </c>
      <c r="M69" s="596" t="str">
        <f>Texte!A104</f>
        <v>q SS</v>
      </c>
      <c r="N69" s="272"/>
      <c r="O69" s="272"/>
      <c r="P69" s="272"/>
      <c r="Q69" s="272"/>
      <c r="R69" s="272"/>
      <c r="S69" s="48"/>
      <c r="T69" s="48"/>
      <c r="U69" s="138"/>
      <c r="V69" s="138"/>
      <c r="W69" s="471" t="s">
        <v>1113</v>
      </c>
      <c r="Y69" s="138"/>
      <c r="Z69" s="135"/>
      <c r="AA69" s="255"/>
      <c r="AB69" s="136"/>
      <c r="AC69" s="137"/>
      <c r="AD69" s="137"/>
      <c r="AE69" s="137"/>
      <c r="AF69" s="139"/>
      <c r="AG69" s="268"/>
      <c r="AH69" s="160"/>
      <c r="AI69" s="160"/>
      <c r="AJ69" s="160"/>
      <c r="AK69" s="158"/>
      <c r="AL69" s="231"/>
      <c r="AM69" s="132"/>
      <c r="AN69" s="132"/>
      <c r="AO69" s="133"/>
      <c r="AP69" s="158"/>
      <c r="AQ69" s="158"/>
      <c r="AR69" s="158"/>
      <c r="AS69" s="158"/>
      <c r="AT69" s="158"/>
      <c r="AU69" s="158"/>
    </row>
    <row r="70" spans="1:47" ht="12.75" customHeight="1">
      <c r="A70" s="49"/>
      <c r="B70" s="585"/>
      <c r="C70" s="586"/>
      <c r="D70" s="586"/>
      <c r="E70" s="586"/>
      <c r="F70" s="240"/>
      <c r="G70" s="240"/>
      <c r="H70" s="240" t="str">
        <f>Texte!A94</f>
        <v>±animali</v>
      </c>
      <c r="I70" s="241" t="str">
        <f>Texte!A95</f>
        <v>Giorni</v>
      </c>
      <c r="J70" s="633">
        <f>Texte!A98</f>
        <v>0</v>
      </c>
      <c r="K70" s="242" t="str">
        <f>Texte!A101</f>
        <v>per anno</v>
      </c>
      <c r="L70" s="242" t="str">
        <f>Texte!A103</f>
        <v>Totale</v>
      </c>
      <c r="M70" s="377" t="str">
        <f>Texte!A103</f>
        <v>Totale</v>
      </c>
      <c r="N70" s="272"/>
      <c r="O70" s="272"/>
      <c r="P70" s="272"/>
      <c r="Q70" s="272"/>
      <c r="R70" s="272"/>
      <c r="S70" s="48"/>
      <c r="T70" s="48"/>
      <c r="U70" s="138"/>
      <c r="V70" s="138"/>
      <c r="W70" s="181"/>
      <c r="Y70" s="138" t="s">
        <v>1114</v>
      </c>
      <c r="Z70" s="135"/>
      <c r="AA70" s="255"/>
      <c r="AB70" s="136"/>
      <c r="AC70" s="137"/>
      <c r="AD70" s="137"/>
      <c r="AE70" s="137"/>
      <c r="AF70" s="139"/>
      <c r="AG70" s="268"/>
      <c r="AH70" s="160"/>
      <c r="AI70" s="160"/>
      <c r="AJ70" s="160"/>
      <c r="AK70" s="158"/>
      <c r="AL70" s="231"/>
      <c r="AM70" s="132"/>
      <c r="AN70" s="132"/>
      <c r="AO70" s="133"/>
      <c r="AP70" s="158"/>
      <c r="AQ70" s="158"/>
      <c r="AR70" s="158"/>
      <c r="AS70" s="158"/>
      <c r="AT70" s="158"/>
      <c r="AU70" s="158"/>
    </row>
    <row r="71" spans="1:47" ht="12.75" customHeight="1">
      <c r="A71" s="49"/>
      <c r="B71" s="269" t="str">
        <f>Texte!A166</f>
        <v>Struzzi &gt; 13 mesi</v>
      </c>
      <c r="C71" s="270"/>
      <c r="D71" s="270"/>
      <c r="E71" s="270"/>
      <c r="F71" s="53" t="str">
        <f>IF($B71="","",VLOOKUP($B71,Daten!$B$8:$E$56,2,FALSE))</f>
        <v>1 capo</v>
      </c>
      <c r="G71" s="101"/>
      <c r="H71" s="446"/>
      <c r="I71" s="446"/>
      <c r="J71" s="634">
        <f t="shared" si="0"/>
        <v>0</v>
      </c>
      <c r="K71" s="634">
        <f>IF($B71="","",VLOOKUP($B71,Daten!$B$8:$E$56,4,FALSE))</f>
        <v>11</v>
      </c>
      <c r="L71" s="636" t="str">
        <f t="shared" si="5"/>
        <v/>
      </c>
      <c r="M71" s="100" t="str">
        <f>L71</f>
        <v/>
      </c>
      <c r="N71" s="272"/>
      <c r="O71" s="272"/>
      <c r="P71" s="272"/>
      <c r="Q71" s="272"/>
      <c r="R71" s="272"/>
      <c r="S71" s="48"/>
      <c r="T71" s="48"/>
      <c r="U71" s="138"/>
      <c r="V71" s="138"/>
      <c r="W71" s="138" t="str">
        <f>Daten!B47</f>
        <v>Posta suini da ingrasso / rimonte (25-100 kg)</v>
      </c>
      <c r="Y71" s="260">
        <v>0.5</v>
      </c>
      <c r="Z71" s="135"/>
      <c r="AA71" s="255"/>
      <c r="AB71" s="136"/>
      <c r="AC71" s="137"/>
      <c r="AD71" s="137"/>
      <c r="AE71" s="137"/>
      <c r="AF71" s="139"/>
      <c r="AG71" s="268"/>
      <c r="AH71" s="160"/>
      <c r="AI71" s="160"/>
      <c r="AJ71" s="160"/>
      <c r="AK71" s="158"/>
      <c r="AL71" s="231"/>
      <c r="AM71" s="132"/>
      <c r="AN71" s="132"/>
      <c r="AO71" s="133"/>
      <c r="AP71" s="158"/>
      <c r="AQ71" s="158"/>
      <c r="AR71" s="158"/>
      <c r="AS71" s="158"/>
      <c r="AT71" s="158"/>
      <c r="AU71" s="158"/>
    </row>
    <row r="72" spans="1:47" ht="12.75" customHeight="1">
      <c r="A72" s="49"/>
      <c r="B72" s="269" t="str">
        <f>Texte!A167</f>
        <v>Struzzi &lt; 13 mesi</v>
      </c>
      <c r="C72" s="270"/>
      <c r="D72" s="270"/>
      <c r="E72" s="270"/>
      <c r="F72" s="53" t="str">
        <f>IF($B72="","",VLOOKUP($B72,Daten!$B$8:$E$56,2,FALSE))</f>
        <v>1 capo</v>
      </c>
      <c r="G72" s="101"/>
      <c r="H72" s="447"/>
      <c r="I72" s="447"/>
      <c r="J72" s="634">
        <f t="shared" si="0"/>
        <v>0</v>
      </c>
      <c r="K72" s="634">
        <f>IF($B72="","",VLOOKUP($B72,Daten!$B$8:$E$56,4,FALSE))</f>
        <v>2</v>
      </c>
      <c r="L72" s="636" t="str">
        <f t="shared" si="5"/>
        <v/>
      </c>
      <c r="M72" s="100" t="str">
        <f>L72</f>
        <v/>
      </c>
      <c r="N72" s="272"/>
      <c r="O72" s="272"/>
      <c r="P72" s="272"/>
      <c r="Q72" s="272"/>
      <c r="R72" s="272"/>
      <c r="S72" s="48"/>
      <c r="T72" s="48"/>
      <c r="U72" s="138"/>
      <c r="V72" s="138"/>
      <c r="W72" s="138" t="str">
        <f>Daten!B48</f>
        <v>Suini da ingrasso / rimonte (25-100 kg)</v>
      </c>
      <c r="Y72" s="260">
        <v>0.5</v>
      </c>
      <c r="Z72" s="135"/>
      <c r="AA72" s="255"/>
      <c r="AB72" s="136"/>
      <c r="AC72" s="137"/>
      <c r="AD72" s="137"/>
      <c r="AE72" s="137"/>
      <c r="AF72" s="139"/>
      <c r="AG72" s="268"/>
      <c r="AH72" s="160"/>
      <c r="AI72" s="160"/>
      <c r="AJ72" s="160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</row>
    <row r="73" spans="1:47" ht="12.75" customHeight="1">
      <c r="A73" s="49"/>
      <c r="B73" s="269" t="str">
        <f>Texte!A164</f>
        <v>Coniglie madre incl. animali giovani fino a 35 g.</v>
      </c>
      <c r="C73" s="270"/>
      <c r="D73" s="270"/>
      <c r="E73" s="270"/>
      <c r="F73" s="53" t="str">
        <f>IF($B73="","",VLOOKUP($B73,Daten!$B$8:$E$56,2,FALSE))</f>
        <v>1 capo</v>
      </c>
      <c r="G73" s="101"/>
      <c r="H73" s="447"/>
      <c r="I73" s="447"/>
      <c r="J73" s="634">
        <f t="shared" si="0"/>
        <v>0</v>
      </c>
      <c r="K73" s="634">
        <f>IF($B73="","",VLOOKUP($B73,Daten!$B$8:$E$56,4,FALSE))</f>
        <v>0.36</v>
      </c>
      <c r="L73" s="636" t="str">
        <f t="shared" si="5"/>
        <v/>
      </c>
      <c r="M73" s="100" t="str">
        <f>L73</f>
        <v/>
      </c>
      <c r="N73" s="272"/>
      <c r="O73" s="272"/>
      <c r="P73" s="272"/>
      <c r="Q73" s="272"/>
      <c r="R73" s="272"/>
      <c r="S73" s="48"/>
      <c r="T73" s="48"/>
      <c r="U73" s="138"/>
      <c r="V73" s="138"/>
      <c r="W73" s="138" t="str">
        <f>Daten!B49</f>
        <v>Suini da allevamento incl. suinetti 25-30 kg</v>
      </c>
      <c r="Y73" s="260">
        <v>6.5</v>
      </c>
      <c r="Z73" s="135"/>
      <c r="AA73" s="255"/>
      <c r="AB73" s="136"/>
      <c r="AC73" s="137"/>
      <c r="AD73" s="137"/>
      <c r="AE73" s="137"/>
      <c r="AF73" s="139"/>
      <c r="AG73" s="268"/>
      <c r="AH73" s="160"/>
      <c r="AI73" s="160"/>
      <c r="AJ73" s="160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</row>
    <row r="74" spans="1:47" ht="12.75" customHeight="1">
      <c r="A74" s="49"/>
      <c r="B74" s="269" t="str">
        <f>Texte!A165</f>
        <v>Conigli: animali giovani (da circa 35 g.)</v>
      </c>
      <c r="C74" s="273"/>
      <c r="D74" s="273"/>
      <c r="E74" s="273"/>
      <c r="F74" s="2" t="str">
        <f>IF($B74="","",VLOOKUP($B74,Daten!$B$8:$E$56,2,FALSE))</f>
        <v>100 poste</v>
      </c>
      <c r="G74" s="98"/>
      <c r="H74" s="447"/>
      <c r="I74" s="447"/>
      <c r="J74" s="634">
        <f t="shared" si="0"/>
        <v>0</v>
      </c>
      <c r="K74" s="634">
        <f>IF($B74="","",VLOOKUP($B74,Daten!$B$8:$E$56,4,FALSE))</f>
        <v>4</v>
      </c>
      <c r="L74" s="637" t="str">
        <f>IF(J74&gt;0,J74*K74,"")</f>
        <v/>
      </c>
      <c r="M74" s="100" t="str">
        <f>L74</f>
        <v/>
      </c>
      <c r="N74" s="272"/>
      <c r="O74" s="272"/>
      <c r="P74" s="272"/>
      <c r="Q74" s="272"/>
      <c r="R74" s="272"/>
      <c r="S74" s="48"/>
      <c r="T74" s="48"/>
      <c r="U74" s="138"/>
      <c r="V74" s="138"/>
      <c r="W74" s="138" t="str">
        <f>Daten!B50</f>
        <v>Posta da scrofa in asciutta</v>
      </c>
      <c r="Y74" s="260">
        <v>9</v>
      </c>
      <c r="Z74" s="135"/>
      <c r="AA74" s="255"/>
      <c r="AB74" s="136"/>
      <c r="AC74" s="137"/>
      <c r="AD74" s="137"/>
      <c r="AE74" s="451"/>
      <c r="AF74" s="139"/>
      <c r="AG74" s="268"/>
      <c r="AH74" s="180"/>
      <c r="AI74" s="180"/>
      <c r="AJ74" s="180"/>
      <c r="AK74" s="188"/>
      <c r="AL74" s="214"/>
      <c r="AM74" s="158"/>
      <c r="AN74" s="158"/>
      <c r="AO74" s="215"/>
      <c r="AP74" s="158"/>
      <c r="AQ74" s="158"/>
      <c r="AR74" s="158"/>
      <c r="AS74" s="158"/>
      <c r="AT74" s="158"/>
      <c r="AU74" s="158"/>
    </row>
    <row r="75" spans="1:47" ht="12.75" customHeight="1">
      <c r="A75" s="49"/>
      <c r="B75" s="269" t="str">
        <f>Texte!A170</f>
        <v>Suini da allevamento incl. suinetti 25-30 kg</v>
      </c>
      <c r="C75" s="273"/>
      <c r="D75" s="273"/>
      <c r="E75" s="273"/>
      <c r="F75" s="2" t="str">
        <f>IF($B75="","",VLOOKUP($B75,Daten!$B$8:$E$56,2,FALSE))</f>
        <v>1 posta</v>
      </c>
      <c r="G75" s="98"/>
      <c r="H75" s="447"/>
      <c r="I75" s="447"/>
      <c r="J75" s="634">
        <f t="shared" si="0"/>
        <v>0</v>
      </c>
      <c r="K75" s="96"/>
      <c r="L75" s="632" t="str">
        <f>IF(J75&gt;0,J75*K75,"")</f>
        <v/>
      </c>
      <c r="M75" s="100"/>
      <c r="N75" s="654" t="str">
        <f>IF(M75&gt;L75,Texte!A$180,"")</f>
        <v/>
      </c>
      <c r="O75" s="272"/>
      <c r="P75" s="272"/>
      <c r="Q75" s="272"/>
      <c r="R75" s="272"/>
      <c r="S75" s="564" t="str">
        <f>IF($B75="","",IF(AND($K75&gt;0.5,$K75&lt;=VLOOKUP($B75,W$71:Y$78,3)),Texte!$A$178,IF($K75&lt;=0.5,"",Texte!$A$179)))</f>
        <v/>
      </c>
      <c r="T75" s="48"/>
      <c r="U75" s="138"/>
      <c r="V75" s="138"/>
      <c r="W75" s="138" t="str">
        <f>Daten!B51</f>
        <v>Scrofe in asciutta, per ciclo</v>
      </c>
      <c r="Y75" s="260">
        <v>9</v>
      </c>
      <c r="Z75" s="135"/>
      <c r="AA75" s="255"/>
      <c r="AB75" s="136"/>
      <c r="AC75" s="137"/>
      <c r="AD75" s="137"/>
      <c r="AE75" s="451"/>
      <c r="AF75" s="139"/>
      <c r="AG75" s="268"/>
      <c r="AH75" s="274"/>
      <c r="AI75" s="180"/>
      <c r="AJ75" s="180"/>
      <c r="AK75" s="188"/>
      <c r="AL75" s="680"/>
      <c r="AM75" s="681"/>
      <c r="AN75" s="681"/>
      <c r="AO75" s="682"/>
      <c r="AP75" s="158"/>
      <c r="AQ75" s="158"/>
      <c r="AR75" s="158"/>
      <c r="AS75" s="158"/>
      <c r="AT75" s="158"/>
      <c r="AU75" s="158"/>
    </row>
    <row r="76" spans="1:47" ht="12.75" customHeight="1">
      <c r="A76" s="49"/>
      <c r="B76" s="687"/>
      <c r="C76" s="688"/>
      <c r="D76" s="688"/>
      <c r="E76" s="688"/>
      <c r="F76" s="2" t="str">
        <f>IF($B76="","",VLOOKUP($B76,Daten!$B$8:$E$56,2,FALSE))</f>
        <v/>
      </c>
      <c r="G76" s="98"/>
      <c r="H76" s="447"/>
      <c r="I76" s="447"/>
      <c r="J76" s="634">
        <f t="shared" si="0"/>
        <v>0</v>
      </c>
      <c r="K76" s="96"/>
      <c r="L76" s="632" t="str">
        <f>IF(J76&gt;0,J76*K76,"")</f>
        <v/>
      </c>
      <c r="M76" s="100"/>
      <c r="N76" s="654" t="str">
        <f>IF(M76&gt;L76,Texte!A$180,"")</f>
        <v/>
      </c>
      <c r="O76" s="272"/>
      <c r="P76" s="272"/>
      <c r="Q76" s="272"/>
      <c r="R76" s="272"/>
      <c r="S76" s="564" t="str">
        <f>IF($B76="","",IF(AND($K76&gt;0.5,$K76&lt;=VLOOKUP($B76,W$71:Y$78,3)),Texte!$A$178,IF($K76&lt;=0.5,"",Texte!$A$179)))</f>
        <v/>
      </c>
      <c r="T76" s="48"/>
      <c r="U76" s="138"/>
      <c r="V76" s="138"/>
      <c r="W76" s="138" t="str">
        <f>Daten!B52</f>
        <v>Scrofe riproduttrici, in lattazione</v>
      </c>
      <c r="Y76" s="260">
        <v>6.5</v>
      </c>
      <c r="Z76" s="135"/>
      <c r="AA76" s="451"/>
      <c r="AB76" s="255"/>
      <c r="AC76" s="137"/>
      <c r="AD76" s="48"/>
      <c r="AE76" s="451"/>
      <c r="AF76" s="139"/>
      <c r="AG76" s="268"/>
      <c r="AH76" s="160"/>
      <c r="AI76" s="160"/>
      <c r="AJ76" s="160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</row>
    <row r="77" spans="1:47" ht="12.75" customHeight="1">
      <c r="A77" s="49"/>
      <c r="B77" s="687"/>
      <c r="C77" s="688"/>
      <c r="D77" s="688"/>
      <c r="E77" s="688"/>
      <c r="F77" s="2" t="str">
        <f>IF($B77="","",VLOOKUP($B77,Daten!$B$8:$E$56,2,FALSE))</f>
        <v/>
      </c>
      <c r="G77" s="98"/>
      <c r="H77" s="447"/>
      <c r="I77" s="447"/>
      <c r="J77" s="634">
        <f t="shared" si="0"/>
        <v>0</v>
      </c>
      <c r="K77" s="96"/>
      <c r="L77" s="632" t="str">
        <f>IF(J77&gt;0,J77*K77,"")</f>
        <v/>
      </c>
      <c r="M77" s="100"/>
      <c r="N77" s="654" t="str">
        <f>IF(M77&gt;L77,Texte!A$180,"")</f>
        <v/>
      </c>
      <c r="O77" s="272"/>
      <c r="P77" s="272"/>
      <c r="Q77" s="272"/>
      <c r="R77" s="272"/>
      <c r="S77" s="564" t="str">
        <f>IF($B77="","",IF(AND($K77&gt;0.5,$K77&lt;=VLOOKUP($B77,W$71:Y$78,3)),Texte!$A$178,IF($K77&lt;=0.5,"",Texte!$A$179)))</f>
        <v/>
      </c>
      <c r="T77" s="48"/>
      <c r="U77" s="138"/>
      <c r="V77" s="138"/>
      <c r="W77" s="138" t="str">
        <f>Daten!B53</f>
        <v>Scrofe riproduttrici, in lattazione, per ciclo</v>
      </c>
      <c r="Y77" s="260">
        <v>6.5</v>
      </c>
      <c r="Z77" s="135"/>
      <c r="AA77" s="451"/>
      <c r="AB77" s="255"/>
      <c r="AC77" s="137"/>
      <c r="AD77" s="48"/>
      <c r="AE77" s="137"/>
      <c r="AF77" s="139"/>
      <c r="AG77" s="268"/>
      <c r="AH77" s="160"/>
      <c r="AI77" s="160"/>
      <c r="AJ77" s="160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</row>
    <row r="78" spans="1:47" ht="12.75" customHeight="1">
      <c r="A78" s="263"/>
      <c r="B78" s="691"/>
      <c r="C78" s="692"/>
      <c r="D78" s="692"/>
      <c r="E78" s="692"/>
      <c r="F78" s="57" t="str">
        <f>IF($B78="","",VLOOKUP($B78,Daten!$B$8:$E$56,2,FALSE))</f>
        <v/>
      </c>
      <c r="G78" s="102"/>
      <c r="H78" s="448"/>
      <c r="I78" s="448"/>
      <c r="J78" s="635">
        <f t="shared" si="0"/>
        <v>0</v>
      </c>
      <c r="K78" s="97"/>
      <c r="L78" s="638" t="str">
        <f>IF(J78&gt;0,J78*K78,"")</f>
        <v/>
      </c>
      <c r="M78" s="100"/>
      <c r="N78" s="655" t="str">
        <f>IF(M78&gt;L78,Texte!A$180,"")</f>
        <v/>
      </c>
      <c r="O78" s="275"/>
      <c r="P78" s="275"/>
      <c r="Q78" s="275"/>
      <c r="R78" s="275"/>
      <c r="S78" s="564" t="str">
        <f>IF($B78="","",IF(AND($K78&gt;0.5,$K78&lt;=VLOOKUP($B78,W$71:Y$78,3)),Texte!$A$178,IF($K78&lt;=0.5,"",Texte!$A$179)))</f>
        <v/>
      </c>
      <c r="T78" s="48"/>
      <c r="U78" s="138"/>
      <c r="V78" s="138"/>
      <c r="W78" s="138" t="str">
        <f>Daten!B54</f>
        <v>Verri da allevamento</v>
      </c>
      <c r="Y78" s="260">
        <v>6.5</v>
      </c>
      <c r="Z78" s="135"/>
      <c r="AA78" s="451"/>
      <c r="AB78" s="255"/>
      <c r="AC78" s="137"/>
      <c r="AD78" s="48"/>
      <c r="AE78" s="137"/>
      <c r="AF78" s="139"/>
      <c r="AG78" s="268"/>
      <c r="AH78" s="160"/>
      <c r="AI78" s="160"/>
      <c r="AJ78" s="160"/>
      <c r="AK78" s="158"/>
      <c r="AL78" s="214"/>
      <c r="AM78" s="158"/>
      <c r="AN78" s="158"/>
      <c r="AO78" s="215"/>
      <c r="AP78" s="158"/>
      <c r="AQ78" s="158"/>
      <c r="AR78" s="158"/>
      <c r="AS78" s="158"/>
      <c r="AT78" s="158"/>
      <c r="AU78" s="158"/>
    </row>
    <row r="79" spans="1:47" ht="12.75" customHeight="1">
      <c r="A79" s="218"/>
      <c r="C79" s="276"/>
      <c r="D79" s="276"/>
      <c r="E79" s="276"/>
      <c r="F79" s="155"/>
      <c r="G79" s="155"/>
      <c r="H79" s="155"/>
      <c r="I79" s="277"/>
      <c r="J79" s="278"/>
      <c r="K79" s="279"/>
      <c r="L79" s="280">
        <f>SUM(L71:L78)</f>
        <v>0</v>
      </c>
      <c r="M79" s="281">
        <f>SUM(M71:M78)</f>
        <v>0</v>
      </c>
      <c r="N79" s="584"/>
      <c r="O79" s="279"/>
      <c r="P79" s="279"/>
      <c r="Q79" s="279"/>
      <c r="R79" s="279"/>
      <c r="S79" s="277"/>
      <c r="T79" s="277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60"/>
      <c r="AI79" s="160"/>
      <c r="AJ79" s="160"/>
      <c r="AK79" s="158"/>
      <c r="AL79" s="680"/>
      <c r="AM79" s="681"/>
      <c r="AN79" s="681"/>
      <c r="AO79" s="682"/>
      <c r="AP79" s="158"/>
      <c r="AQ79" s="158"/>
      <c r="AR79" s="158"/>
      <c r="AS79" s="158"/>
      <c r="AT79" s="158"/>
      <c r="AU79" s="158"/>
    </row>
    <row r="80" spans="1:47" ht="8.1" customHeight="1">
      <c r="B80" s="276"/>
      <c r="C80" s="276"/>
      <c r="D80" s="276"/>
      <c r="E80" s="276"/>
      <c r="F80" s="155"/>
      <c r="G80" s="155"/>
      <c r="H80" s="155"/>
      <c r="I80" s="277"/>
      <c r="J80" s="278"/>
      <c r="K80" s="278"/>
      <c r="L80" s="282"/>
      <c r="M80" s="192"/>
      <c r="N80" s="277"/>
      <c r="O80" s="277"/>
      <c r="P80" s="277"/>
      <c r="Q80" s="279"/>
      <c r="R80" s="279"/>
      <c r="S80" s="277"/>
      <c r="T80" s="277"/>
      <c r="U80" s="277"/>
      <c r="V80" s="277"/>
      <c r="W80" s="277"/>
      <c r="X80" s="277"/>
      <c r="Y80" s="277"/>
      <c r="Z80" s="277"/>
      <c r="AA80" s="149"/>
      <c r="AD80" s="150"/>
      <c r="AE80" s="151"/>
      <c r="AG80" s="150"/>
      <c r="AH80" s="149"/>
      <c r="AI80" s="160"/>
      <c r="AJ80" s="160"/>
      <c r="AK80" s="160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</row>
    <row r="81" spans="2:48" ht="12.75" customHeight="1">
      <c r="B81" s="218" t="str">
        <f>Texte!A182</f>
        <v>Azienda di base</v>
      </c>
      <c r="C81" s="276"/>
      <c r="D81" s="276"/>
      <c r="E81" s="276"/>
      <c r="F81" s="155"/>
      <c r="G81" s="155"/>
      <c r="H81" s="155"/>
      <c r="I81" s="277"/>
      <c r="J81" s="278"/>
      <c r="K81" s="278"/>
      <c r="L81" s="282"/>
      <c r="M81" s="192"/>
      <c r="N81" s="277"/>
      <c r="O81" s="277"/>
      <c r="P81" s="277"/>
      <c r="Q81" s="277"/>
      <c r="R81" s="277"/>
      <c r="S81" s="277"/>
      <c r="T81" s="277"/>
      <c r="U81" s="139"/>
      <c r="V81" s="139"/>
      <c r="W81" s="139"/>
      <c r="X81" s="139"/>
      <c r="Y81" s="139"/>
      <c r="Z81" s="139"/>
      <c r="AA81" s="139"/>
      <c r="AB81" s="139"/>
      <c r="AC81" s="139"/>
      <c r="AD81" s="150"/>
      <c r="AE81" s="151"/>
      <c r="AG81" s="150"/>
      <c r="AH81" s="149"/>
      <c r="AK81" s="152"/>
      <c r="AL81" s="158"/>
      <c r="AM81" s="214"/>
      <c r="AN81" s="158"/>
      <c r="AO81" s="158"/>
      <c r="AP81" s="215"/>
      <c r="AQ81" s="158"/>
      <c r="AR81" s="158"/>
      <c r="AS81" s="158"/>
      <c r="AT81" s="158"/>
      <c r="AU81" s="158"/>
      <c r="AV81" s="158"/>
    </row>
    <row r="82" spans="2:48" ht="12.75" customHeight="1">
      <c r="B82" s="218" t="str">
        <f>Texte!A183</f>
        <v>A1: consumo foraggio di base, tutti gli animali</v>
      </c>
      <c r="C82" s="276"/>
      <c r="D82" s="276"/>
      <c r="E82" s="276"/>
      <c r="F82" s="155"/>
      <c r="G82" s="155"/>
      <c r="H82" s="155"/>
      <c r="I82" s="277"/>
      <c r="J82" s="278"/>
      <c r="K82" s="278"/>
      <c r="L82" s="639">
        <f>L79+L65</f>
        <v>0</v>
      </c>
      <c r="M82" s="277" t="str">
        <f>Texte!A104</f>
        <v>q SS</v>
      </c>
      <c r="N82" s="277"/>
      <c r="O82" s="277"/>
      <c r="P82" s="277"/>
      <c r="Q82" s="277"/>
      <c r="R82" s="277"/>
      <c r="S82" s="277"/>
      <c r="T82" s="277"/>
      <c r="U82" s="139"/>
      <c r="V82" s="139"/>
      <c r="W82" s="139"/>
      <c r="X82" s="139"/>
      <c r="Y82" s="139"/>
      <c r="Z82" s="139"/>
      <c r="AA82" s="139"/>
      <c r="AB82" s="139"/>
      <c r="AC82" s="139"/>
      <c r="AD82" s="150"/>
      <c r="AE82" s="283"/>
      <c r="AG82" s="284"/>
      <c r="AH82" s="149"/>
      <c r="AI82" s="285"/>
      <c r="AK82" s="152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</row>
    <row r="83" spans="2:48" ht="12.75" customHeight="1">
      <c r="B83" s="218" t="str">
        <f>Texte!A184</f>
        <v xml:space="preserve">A2: consumo foraggio di base, animali che consumano foraggio grezzo </v>
      </c>
      <c r="C83" s="276"/>
      <c r="D83" s="276"/>
      <c r="E83" s="276"/>
      <c r="F83" s="155"/>
      <c r="G83" s="155"/>
      <c r="H83" s="155"/>
      <c r="I83" s="277"/>
      <c r="J83" s="278"/>
      <c r="K83" s="278"/>
      <c r="L83" s="639">
        <f>SUM(L41:L57,L59:L64)</f>
        <v>0</v>
      </c>
      <c r="M83" s="277" t="str">
        <f>Texte!A104</f>
        <v>q SS</v>
      </c>
      <c r="N83" s="277"/>
      <c r="O83" s="277"/>
      <c r="P83" s="277"/>
      <c r="Q83" s="277"/>
      <c r="R83" s="277"/>
      <c r="S83" s="277"/>
      <c r="T83" s="277"/>
      <c r="U83" s="139"/>
      <c r="V83" s="139"/>
      <c r="W83" s="140"/>
      <c r="X83" s="139"/>
      <c r="Y83" s="139"/>
      <c r="Z83" s="139"/>
      <c r="AA83" s="139"/>
      <c r="AB83" s="139"/>
      <c r="AC83" s="139"/>
      <c r="AD83" s="150"/>
      <c r="AE83" s="283"/>
      <c r="AG83" s="284"/>
      <c r="AH83" s="149"/>
      <c r="AI83" s="285"/>
      <c r="AK83" s="152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</row>
    <row r="84" spans="2:48" ht="12.75" customHeight="1">
      <c r="B84" s="218" t="str">
        <f>Texte!A185</f>
        <v>A3: consumo foraggio di prati/pascoli, altri animali</v>
      </c>
      <c r="C84" s="276"/>
      <c r="D84" s="276"/>
      <c r="E84" s="276"/>
      <c r="F84" s="155"/>
      <c r="G84" s="155"/>
      <c r="H84" s="155"/>
      <c r="I84" s="277"/>
      <c r="J84" s="278"/>
      <c r="K84" s="278"/>
      <c r="L84" s="639">
        <f>M79</f>
        <v>0</v>
      </c>
      <c r="M84" s="277" t="str">
        <f>Texte!A104</f>
        <v>q SS</v>
      </c>
      <c r="N84" s="277"/>
      <c r="O84" s="277"/>
      <c r="P84" s="277"/>
      <c r="Q84" s="277"/>
      <c r="R84" s="277"/>
      <c r="S84" s="277"/>
      <c r="T84" s="277"/>
      <c r="U84" s="139"/>
      <c r="V84" s="139"/>
      <c r="W84" s="140"/>
      <c r="X84" s="139"/>
      <c r="Y84" s="139"/>
      <c r="Z84" s="139"/>
      <c r="AA84" s="139"/>
      <c r="AB84" s="139"/>
      <c r="AC84" s="139"/>
      <c r="AD84" s="150"/>
      <c r="AE84" s="283"/>
      <c r="AG84" s="284"/>
      <c r="AH84" s="149"/>
      <c r="AI84" s="285"/>
      <c r="AK84" s="152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</row>
    <row r="85" spans="2:48" ht="12.75" customHeight="1">
      <c r="B85" s="218" t="str">
        <f>Texte!A186</f>
        <v>A4: consumo foraggio concentrato, categorie aventi diritto</v>
      </c>
      <c r="C85" s="276"/>
      <c r="D85" s="276"/>
      <c r="E85" s="276"/>
      <c r="F85" s="155"/>
      <c r="G85" s="155"/>
      <c r="H85" s="155"/>
      <c r="I85" s="277"/>
      <c r="J85" s="278"/>
      <c r="K85" s="278"/>
      <c r="L85" s="282"/>
      <c r="M85" s="192"/>
      <c r="N85" s="639">
        <f>M65</f>
        <v>0</v>
      </c>
      <c r="O85" s="277" t="str">
        <f>Texte!A102</f>
        <v>q SF</v>
      </c>
      <c r="P85" s="189"/>
      <c r="Q85" s="189"/>
      <c r="R85" s="189"/>
      <c r="S85" s="189"/>
      <c r="U85" s="139"/>
      <c r="V85" s="139"/>
      <c r="W85" s="139"/>
      <c r="X85" s="139"/>
      <c r="Y85" s="139"/>
      <c r="Z85" s="139"/>
      <c r="AA85" s="139"/>
      <c r="AB85" s="139"/>
      <c r="AC85" s="139"/>
      <c r="AD85" s="150"/>
      <c r="AE85" s="151"/>
      <c r="AG85" s="150"/>
      <c r="AH85" s="149"/>
      <c r="AK85" s="152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</row>
    <row r="86" spans="2:48" ht="12.75" customHeight="1">
      <c r="B86" s="218" t="str">
        <f>Texte!A187</f>
        <v>A5: consumo totale, animali che consumano foraggio grezzo</v>
      </c>
      <c r="C86" s="218"/>
      <c r="D86" s="218"/>
      <c r="E86" s="218"/>
      <c r="F86" s="155"/>
      <c r="G86" s="155"/>
      <c r="H86" s="277"/>
      <c r="I86" s="278"/>
      <c r="J86" s="278"/>
      <c r="K86" s="282"/>
      <c r="L86" s="286"/>
      <c r="M86" s="287"/>
      <c r="N86" s="639">
        <f>L83+(N85*0.88)</f>
        <v>0</v>
      </c>
      <c r="O86" s="277" t="str">
        <f>Texte!A104</f>
        <v>q SS</v>
      </c>
      <c r="P86" s="189"/>
      <c r="Q86" s="189"/>
      <c r="R86" s="189"/>
      <c r="S86" s="189"/>
      <c r="U86" s="139"/>
      <c r="V86" s="139"/>
      <c r="W86" s="139"/>
      <c r="X86" s="139"/>
      <c r="Y86" s="139"/>
      <c r="Z86" s="139"/>
      <c r="AA86" s="139"/>
      <c r="AB86" s="139"/>
      <c r="AC86" s="139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</row>
    <row r="87" spans="2:48" ht="12.75" customHeight="1">
      <c r="B87" s="218"/>
      <c r="C87" s="218"/>
      <c r="D87" s="218"/>
      <c r="E87" s="218"/>
      <c r="F87" s="155"/>
      <c r="G87" s="155"/>
      <c r="H87" s="277"/>
      <c r="I87" s="278"/>
      <c r="J87" s="278"/>
      <c r="K87" s="282"/>
      <c r="L87" s="286"/>
      <c r="M87" s="287"/>
      <c r="N87" s="554"/>
      <c r="O87" s="277"/>
      <c r="P87" s="189"/>
      <c r="Q87" s="189"/>
      <c r="R87" s="189"/>
      <c r="S87" s="189"/>
      <c r="U87" s="139"/>
      <c r="V87" s="139"/>
      <c r="W87" s="139"/>
      <c r="X87" s="139"/>
      <c r="Y87" s="139"/>
      <c r="Z87" s="139"/>
      <c r="AA87" s="139"/>
      <c r="AB87" s="139"/>
      <c r="AC87" s="139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</row>
    <row r="88" spans="2:48" ht="12.75" customHeight="1">
      <c r="B88" s="218" t="str">
        <f>Texte!A188</f>
        <v>Estivazione</v>
      </c>
      <c r="C88" s="218"/>
      <c r="D88" s="218"/>
      <c r="E88" s="218"/>
      <c r="F88" s="155"/>
      <c r="G88" s="155"/>
      <c r="H88" s="277"/>
      <c r="I88" s="278"/>
      <c r="J88" s="278"/>
      <c r="K88" s="282"/>
      <c r="L88" s="286"/>
      <c r="M88" s="287"/>
      <c r="N88" s="554"/>
      <c r="O88" s="277"/>
      <c r="P88" s="189"/>
      <c r="Q88" s="189"/>
      <c r="R88" s="189"/>
      <c r="S88" s="189"/>
      <c r="U88" s="139"/>
      <c r="V88" s="139"/>
      <c r="W88" s="139"/>
      <c r="X88" s="139"/>
      <c r="Y88" s="139"/>
      <c r="Z88" s="139"/>
      <c r="AA88" s="139"/>
      <c r="AB88" s="139"/>
      <c r="AC88" s="139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</row>
    <row r="89" spans="2:48" ht="12.75" customHeight="1">
      <c r="B89" s="218" t="str">
        <f>Texte!A189</f>
        <v xml:space="preserve">A6: consumo foraggio di base, animali che consumano foraggio grezzo </v>
      </c>
      <c r="C89" s="218"/>
      <c r="D89" s="218"/>
      <c r="E89" s="218"/>
      <c r="F89" s="155"/>
      <c r="G89" s="155"/>
      <c r="H89" s="277"/>
      <c r="I89" s="278"/>
      <c r="J89" s="278"/>
      <c r="K89" s="282"/>
      <c r="L89" s="639">
        <f>SUM(Q41:Q64)</f>
        <v>0</v>
      </c>
      <c r="M89" s="277" t="str">
        <f>Texte!A104</f>
        <v>q SS</v>
      </c>
      <c r="N89" s="554"/>
      <c r="O89" s="277"/>
      <c r="P89" s="189"/>
      <c r="Q89" s="189"/>
      <c r="R89" s="189"/>
      <c r="S89" s="189"/>
      <c r="U89" s="139"/>
      <c r="V89" s="139"/>
      <c r="W89" s="139"/>
      <c r="X89" s="139"/>
      <c r="Y89" s="139"/>
      <c r="Z89" s="139"/>
      <c r="AA89" s="139"/>
      <c r="AB89" s="139"/>
      <c r="AC89" s="139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</row>
    <row r="90" spans="2:48" ht="12.75" customHeight="1">
      <c r="B90" s="218" t="str">
        <f>Texte!A190</f>
        <v>A7: consumo foraggio concentrato, categorie aventi diritto</v>
      </c>
      <c r="C90" s="218"/>
      <c r="D90" s="218"/>
      <c r="E90" s="218"/>
      <c r="F90" s="155"/>
      <c r="G90" s="155"/>
      <c r="H90" s="277"/>
      <c r="I90" s="278"/>
      <c r="J90" s="278"/>
      <c r="K90" s="282"/>
      <c r="L90" s="286"/>
      <c r="M90" s="287"/>
      <c r="N90" s="639">
        <f>SUM(R41:R64)*0.88</f>
        <v>0</v>
      </c>
      <c r="O90" s="277" t="str">
        <f>Texte!A104</f>
        <v>q SS</v>
      </c>
      <c r="P90" s="189"/>
      <c r="Q90" s="189"/>
      <c r="R90" s="189"/>
      <c r="S90" s="189"/>
      <c r="U90" s="139"/>
      <c r="V90" s="139"/>
      <c r="W90" s="139"/>
      <c r="X90" s="139"/>
      <c r="Y90" s="139"/>
      <c r="Z90" s="139"/>
      <c r="AA90" s="139"/>
      <c r="AB90" s="139"/>
      <c r="AC90" s="139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</row>
    <row r="91" spans="2:48" ht="12.75" customHeight="1">
      <c r="B91" s="218" t="str">
        <f>Texte!A191</f>
        <v>A8: giorni di estivazione secondo AniCalc (BDTA)</v>
      </c>
      <c r="C91" s="218"/>
      <c r="D91" s="218"/>
      <c r="E91" s="218"/>
      <c r="F91" s="155"/>
      <c r="G91" s="155"/>
      <c r="H91" s="277"/>
      <c r="I91" s="278"/>
      <c r="J91" s="278"/>
      <c r="K91" s="282"/>
      <c r="L91" s="286"/>
      <c r="M91" s="287"/>
      <c r="N91" s="554"/>
      <c r="O91" s="277"/>
      <c r="P91" s="189"/>
      <c r="Q91" s="639">
        <f>SUM(P41:P57)</f>
        <v>0</v>
      </c>
      <c r="R91" s="189"/>
      <c r="S91" s="189"/>
      <c r="U91" s="139"/>
      <c r="V91" s="139"/>
      <c r="W91" s="139"/>
      <c r="X91" s="139"/>
      <c r="Y91" s="139"/>
      <c r="Z91" s="139"/>
      <c r="AA91" s="139"/>
      <c r="AB91" s="139"/>
      <c r="AC91" s="139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</row>
    <row r="92" spans="2:48" ht="11.45" customHeight="1">
      <c r="B92" s="218"/>
      <c r="C92" s="218"/>
      <c r="D92" s="218"/>
      <c r="E92" s="218"/>
      <c r="F92" s="155"/>
      <c r="G92" s="155"/>
      <c r="H92" s="277"/>
      <c r="I92" s="278"/>
      <c r="J92" s="278"/>
      <c r="K92" s="282"/>
      <c r="L92" s="286"/>
      <c r="M92" s="287"/>
      <c r="N92" s="189"/>
      <c r="O92" s="189"/>
      <c r="P92" s="189"/>
      <c r="Q92" s="189"/>
      <c r="R92" s="189"/>
      <c r="S92" s="189"/>
      <c r="T92" s="277"/>
      <c r="U92" s="139"/>
      <c r="V92" s="139"/>
      <c r="W92" s="139"/>
      <c r="X92" s="139"/>
      <c r="Y92" s="139"/>
      <c r="Z92" s="139"/>
      <c r="AA92" s="139"/>
      <c r="AB92" s="139"/>
      <c r="AC92" s="139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</row>
    <row r="93" spans="2:48" ht="16.5" customHeight="1">
      <c r="B93" s="177" t="str">
        <f>Texte!A193</f>
        <v>Parte B: produzione foraggio di base</v>
      </c>
      <c r="C93" s="177"/>
      <c r="D93" s="177"/>
      <c r="E93" s="177"/>
      <c r="I93" s="175"/>
      <c r="L93" s="315"/>
      <c r="N93" s="175"/>
      <c r="O93" s="177" t="str">
        <f>Texte!A243</f>
        <v>Vacche madri &amp; vitelli</v>
      </c>
      <c r="P93" s="175"/>
      <c r="Q93" s="175"/>
      <c r="R93" s="175"/>
      <c r="S93" s="175"/>
      <c r="V93" s="289"/>
      <c r="X93" s="290"/>
      <c r="Y93" s="291"/>
      <c r="AF93" s="284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</row>
    <row r="94" spans="2:48" ht="7.7" customHeight="1">
      <c r="B94" s="177"/>
      <c r="C94" s="177"/>
      <c r="D94" s="177"/>
      <c r="E94" s="177"/>
      <c r="I94" s="175"/>
      <c r="K94" s="175"/>
      <c r="L94" s="175"/>
      <c r="N94" s="175"/>
      <c r="O94" s="175"/>
      <c r="P94" s="175"/>
      <c r="Q94" s="175"/>
      <c r="R94" s="175"/>
      <c r="S94" s="175"/>
      <c r="Y94" s="155"/>
      <c r="AF94" s="284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</row>
    <row r="95" spans="2:48" ht="12.75" customHeight="1">
      <c r="B95" s="292"/>
      <c r="C95" s="293"/>
      <c r="D95" s="293"/>
      <c r="E95" s="293"/>
      <c r="F95" s="294"/>
      <c r="G95" s="294"/>
      <c r="H95" s="294"/>
      <c r="I95" s="295" t="str">
        <f>Texte!A194</f>
        <v>Resa</v>
      </c>
      <c r="J95" s="296" t="str">
        <f>Texte!A197</f>
        <v>stand.</v>
      </c>
      <c r="K95" s="296" t="str">
        <f>Texte!A196</f>
        <v>Resa</v>
      </c>
      <c r="L95" s="296" t="str">
        <f>Texte!A199</f>
        <v>Quant.</v>
      </c>
      <c r="O95" s="608" t="str">
        <f>Texte!A244</f>
        <v>di cui foraggiato a</v>
      </c>
      <c r="P95" s="368"/>
      <c r="Q95" s="175"/>
      <c r="R95" s="175"/>
      <c r="S95" s="175"/>
      <c r="Y95" s="155"/>
      <c r="AD95" s="297"/>
      <c r="AF95" s="284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</row>
    <row r="96" spans="2:48" ht="12.75" customHeight="1">
      <c r="B96" s="298"/>
      <c r="C96" s="196"/>
      <c r="D96" s="196"/>
      <c r="E96" s="196"/>
      <c r="F96" s="197"/>
      <c r="G96" s="197"/>
      <c r="H96" s="197"/>
      <c r="I96" s="299" t="str">
        <f>Texte!A195</f>
        <v>stand.</v>
      </c>
      <c r="J96" s="241" t="s">
        <v>183</v>
      </c>
      <c r="K96" s="241" t="str">
        <f>Texte!A198</f>
        <v>q SS/ha</v>
      </c>
      <c r="L96" s="241" t="str">
        <f>Texte!A200</f>
        <v>q SS</v>
      </c>
      <c r="O96" s="613" t="str">
        <f>Texte!A245</f>
        <v>vacche madri &amp; vitelli q. SS</v>
      </c>
      <c r="P96" s="374"/>
      <c r="V96" s="181" t="s">
        <v>124</v>
      </c>
      <c r="Y96" s="155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</row>
    <row r="97" spans="2:47" ht="12.75" customHeight="1">
      <c r="B97" s="300" t="str">
        <f>Texte!A204</f>
        <v>Mais pianta intera, Mais da silo</v>
      </c>
      <c r="C97" s="301"/>
      <c r="D97" s="301"/>
      <c r="E97" s="301"/>
      <c r="F97" s="301"/>
      <c r="G97" s="301"/>
      <c r="H97" s="302"/>
      <c r="I97" s="108">
        <v>170</v>
      </c>
      <c r="J97" s="76"/>
      <c r="K97" s="77"/>
      <c r="L97" s="640">
        <f>J97*K97</f>
        <v>0</v>
      </c>
      <c r="O97" s="609"/>
      <c r="P97" s="610"/>
      <c r="Q97" s="175" t="str">
        <f>IF($O97&gt;$L97,Texte!A$246,"")</f>
        <v/>
      </c>
      <c r="V97" s="181" t="b">
        <f t="shared" ref="V97:V103" si="6">IF(AND(ISBLANK(O97),L97&lt;&gt;0),1)</f>
        <v>0</v>
      </c>
      <c r="Y97" s="155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</row>
    <row r="98" spans="2:47" ht="12.75" customHeight="1">
      <c r="B98" s="303" t="str">
        <f>Texte!A205</f>
        <v>Insilato di cereali</v>
      </c>
      <c r="C98" s="252"/>
      <c r="D98" s="252"/>
      <c r="E98" s="252"/>
      <c r="F98" s="252"/>
      <c r="G98" s="252"/>
      <c r="H98" s="660"/>
      <c r="I98" s="108">
        <v>106</v>
      </c>
      <c r="J98" s="76"/>
      <c r="K98" s="672">
        <v>106</v>
      </c>
      <c r="L98" s="640">
        <f>J98*K98</f>
        <v>0</v>
      </c>
      <c r="O98" s="661"/>
      <c r="P98" s="662"/>
      <c r="Q98" s="175"/>
      <c r="V98" s="181" t="b">
        <f t="shared" si="6"/>
        <v>0</v>
      </c>
      <c r="Y98" s="155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</row>
    <row r="99" spans="2:47" ht="12.75" customHeight="1">
      <c r="B99" s="303" t="str">
        <f>Texte!A206</f>
        <v>Insilato di cereali con leguminose</v>
      </c>
      <c r="C99" s="252"/>
      <c r="D99" s="252"/>
      <c r="E99" s="252"/>
      <c r="F99" s="252"/>
      <c r="G99" s="252"/>
      <c r="H99" s="660"/>
      <c r="I99" s="108">
        <v>106</v>
      </c>
      <c r="J99" s="76"/>
      <c r="K99" s="672">
        <v>106</v>
      </c>
      <c r="L99" s="640">
        <f>J99*K99</f>
        <v>0</v>
      </c>
      <c r="O99" s="661"/>
      <c r="P99" s="662"/>
      <c r="Q99" s="175"/>
      <c r="V99" s="181" t="b">
        <f t="shared" si="6"/>
        <v>0</v>
      </c>
      <c r="Y99" s="155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</row>
    <row r="100" spans="2:47" ht="12.75" customHeight="1">
      <c r="B100" s="303" t="str">
        <f>Texte!A207</f>
        <v>Mais verde</v>
      </c>
      <c r="C100" s="304"/>
      <c r="D100" s="304"/>
      <c r="E100" s="304"/>
      <c r="F100" s="304"/>
      <c r="G100" s="304"/>
      <c r="H100" s="305"/>
      <c r="I100" s="108">
        <v>175</v>
      </c>
      <c r="J100" s="76"/>
      <c r="K100" s="77"/>
      <c r="L100" s="640">
        <f>J100*K100</f>
        <v>0</v>
      </c>
      <c r="O100" s="611"/>
      <c r="P100" s="612"/>
      <c r="Q100" s="175" t="str">
        <f>IF($O100&gt;$L100,Texte!A$246,"")</f>
        <v/>
      </c>
      <c r="V100" s="181" t="b">
        <f t="shared" si="6"/>
        <v>0</v>
      </c>
      <c r="Y100" s="155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</row>
    <row r="101" spans="2:47" ht="12.75" customHeight="1">
      <c r="B101" s="303" t="str">
        <f>Texte!A208</f>
        <v>Barbabietole da foraggio (senza foglie)</v>
      </c>
      <c r="C101" s="304"/>
      <c r="D101" s="304"/>
      <c r="E101" s="304"/>
      <c r="F101" s="304"/>
      <c r="G101" s="304"/>
      <c r="H101" s="305"/>
      <c r="I101" s="108">
        <v>60</v>
      </c>
      <c r="J101" s="76"/>
      <c r="K101" s="77"/>
      <c r="L101" s="640">
        <f>J101*K101</f>
        <v>0</v>
      </c>
      <c r="N101" s="308"/>
      <c r="O101" s="611"/>
      <c r="P101" s="612"/>
      <c r="Q101" s="175" t="str">
        <f>IF($O101&gt;$L101,Texte!A$246,"")</f>
        <v/>
      </c>
      <c r="V101" s="181" t="b">
        <f t="shared" si="6"/>
        <v>0</v>
      </c>
      <c r="Y101" s="155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</row>
    <row r="102" spans="2:47" ht="12.75" customHeight="1">
      <c r="B102" s="303" t="str">
        <f>Texte!A209</f>
        <v>Paglia usata come foraggio (solo dell'azienda)</v>
      </c>
      <c r="C102" s="304"/>
      <c r="D102" s="304"/>
      <c r="E102" s="304"/>
      <c r="F102" s="304"/>
      <c r="G102" s="304"/>
      <c r="H102" s="305"/>
      <c r="I102" s="108">
        <v>40</v>
      </c>
      <c r="J102" s="306"/>
      <c r="K102" s="307"/>
      <c r="L102" s="94"/>
      <c r="N102" s="308"/>
      <c r="O102" s="611"/>
      <c r="P102" s="612"/>
      <c r="Q102" s="175" t="str">
        <f>IF($O102&gt;$L102,Texte!A$246,"")</f>
        <v/>
      </c>
      <c r="V102" s="181" t="b">
        <f t="shared" si="6"/>
        <v>0</v>
      </c>
      <c r="Y102" s="314" t="s">
        <v>650</v>
      </c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</row>
    <row r="103" spans="2:47" ht="12.75" customHeight="1">
      <c r="B103" s="309" t="str">
        <f>Texte!A210</f>
        <v>Foglie di bietola usate come foraggio (solo dell'azienda)</v>
      </c>
      <c r="C103" s="310"/>
      <c r="D103" s="310"/>
      <c r="E103" s="310"/>
      <c r="F103" s="310"/>
      <c r="G103" s="310"/>
      <c r="H103" s="311"/>
      <c r="I103" s="109">
        <v>50</v>
      </c>
      <c r="J103" s="312"/>
      <c r="K103" s="313"/>
      <c r="L103" s="95"/>
      <c r="O103" s="611"/>
      <c r="P103" s="612"/>
      <c r="Q103" s="175" t="str">
        <f>IF($O103&gt;$L103,Texte!A$246,"")</f>
        <v/>
      </c>
      <c r="V103" s="181" t="b">
        <f t="shared" si="6"/>
        <v>0</v>
      </c>
      <c r="Y103" s="369" t="s">
        <v>1104</v>
      </c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</row>
    <row r="104" spans="2:47" ht="12.75" customHeight="1">
      <c r="B104" s="300" t="str">
        <f>Texte!A211</f>
        <v>Colture intercalari, sfalci autunnali di prati temporanei seminati ad agosto</v>
      </c>
      <c r="C104" s="301"/>
      <c r="D104" s="301"/>
      <c r="E104" s="301"/>
      <c r="F104" s="301"/>
      <c r="G104" s="301"/>
      <c r="H104" s="302"/>
      <c r="I104" s="110">
        <v>25</v>
      </c>
      <c r="J104" s="502"/>
      <c r="K104" s="76">
        <v>25</v>
      </c>
      <c r="L104" s="641">
        <f t="shared" ref="L104:L111" si="7">J104*K104</f>
        <v>0</v>
      </c>
      <c r="O104" s="603"/>
      <c r="P104" s="604"/>
      <c r="Q104" s="317"/>
      <c r="R104" s="317"/>
      <c r="S104" s="317"/>
      <c r="V104" s="181">
        <f>SUM(V97:V103)</f>
        <v>0</v>
      </c>
      <c r="W104" s="653" t="s">
        <v>125</v>
      </c>
      <c r="X104" s="181">
        <v>25</v>
      </c>
      <c r="Y104" s="449" t="str">
        <f>IF($K104&gt;$X104,1,"")</f>
        <v/>
      </c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</row>
    <row r="105" spans="2:47" ht="12.75" customHeight="1">
      <c r="B105" s="303" t="str">
        <f>Texte!A212</f>
        <v>Produzione di sementi: leguminose pure</v>
      </c>
      <c r="C105" s="304"/>
      <c r="D105" s="304"/>
      <c r="E105" s="304"/>
      <c r="F105" s="304"/>
      <c r="G105" s="304"/>
      <c r="H105" s="305"/>
      <c r="I105" s="111" t="s">
        <v>413</v>
      </c>
      <c r="J105" s="76"/>
      <c r="K105" s="76"/>
      <c r="L105" s="640">
        <f t="shared" si="7"/>
        <v>0</v>
      </c>
      <c r="O105" s="605"/>
      <c r="P105" s="606"/>
      <c r="Q105" s="317"/>
      <c r="R105" s="317"/>
      <c r="S105" s="317"/>
      <c r="X105" s="181">
        <v>120</v>
      </c>
      <c r="Y105" s="449" t="str">
        <f>IF($K105&gt;$X105,1,"")</f>
        <v/>
      </c>
      <c r="Z105" s="289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</row>
    <row r="106" spans="2:47" ht="12.75" customHeight="1">
      <c r="B106" s="303" t="str">
        <f>Texte!A213</f>
        <v>Produzione di sementi: graminacee pure</v>
      </c>
      <c r="C106" s="304"/>
      <c r="D106" s="304"/>
      <c r="E106" s="304"/>
      <c r="F106" s="304"/>
      <c r="G106" s="304"/>
      <c r="H106" s="305"/>
      <c r="I106" s="111" t="s">
        <v>413</v>
      </c>
      <c r="J106" s="76"/>
      <c r="K106" s="76"/>
      <c r="L106" s="640">
        <f t="shared" si="7"/>
        <v>0</v>
      </c>
      <c r="N106" s="315"/>
      <c r="O106" s="605"/>
      <c r="P106" s="606"/>
      <c r="Q106" s="598"/>
      <c r="R106" s="598"/>
      <c r="S106" s="598"/>
      <c r="X106" s="181">
        <v>180</v>
      </c>
      <c r="Y106" s="449" t="str">
        <f t="shared" ref="Y106:Y112" si="8">IF($K106&gt;$X106,1,"")</f>
        <v/>
      </c>
      <c r="Z106" s="289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</row>
    <row r="107" spans="2:47" ht="12.75" customHeight="1">
      <c r="B107" s="303" t="str">
        <f>Texte!A214</f>
        <v>Prati estensivi</v>
      </c>
      <c r="C107" s="304"/>
      <c r="D107" s="304"/>
      <c r="E107" s="304"/>
      <c r="F107" s="304"/>
      <c r="G107" s="304"/>
      <c r="H107" s="305"/>
      <c r="I107" s="111" t="s">
        <v>628</v>
      </c>
      <c r="J107" s="76"/>
      <c r="K107" s="76"/>
      <c r="L107" s="640">
        <f t="shared" si="7"/>
        <v>0</v>
      </c>
      <c r="N107" s="315"/>
      <c r="O107" s="605"/>
      <c r="P107" s="606"/>
      <c r="Q107" s="598"/>
      <c r="R107" s="598"/>
      <c r="S107" s="598"/>
      <c r="X107" s="181">
        <v>30</v>
      </c>
      <c r="Y107" s="449" t="str">
        <f t="shared" si="8"/>
        <v/>
      </c>
      <c r="Z107" s="289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</row>
    <row r="108" spans="2:47" ht="12.75" customHeight="1">
      <c r="B108" s="303" t="str">
        <f>Texte!A215</f>
        <v>Altri prati con divieto di concimazione</v>
      </c>
      <c r="C108" s="304"/>
      <c r="D108" s="304"/>
      <c r="E108" s="304"/>
      <c r="F108" s="304"/>
      <c r="G108" s="304"/>
      <c r="H108" s="305"/>
      <c r="I108" s="111" t="s">
        <v>628</v>
      </c>
      <c r="J108" s="76"/>
      <c r="K108" s="76"/>
      <c r="L108" s="640">
        <f t="shared" si="7"/>
        <v>0</v>
      </c>
      <c r="N108" s="315"/>
      <c r="O108" s="605"/>
      <c r="P108" s="606"/>
      <c r="Q108" s="598"/>
      <c r="R108" s="598"/>
      <c r="S108" s="598"/>
      <c r="X108" s="181">
        <v>30</v>
      </c>
      <c r="Y108" s="449" t="str">
        <f t="shared" si="8"/>
        <v/>
      </c>
      <c r="Z108" s="289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</row>
    <row r="109" spans="2:47" ht="12.75" customHeight="1">
      <c r="B109" s="303" t="str">
        <f>Texte!A216</f>
        <v xml:space="preserve">Prati estensivi, pascoli boschivi </v>
      </c>
      <c r="C109" s="304"/>
      <c r="D109" s="304"/>
      <c r="E109" s="304"/>
      <c r="F109" s="304"/>
      <c r="G109" s="304"/>
      <c r="H109" s="305"/>
      <c r="I109" s="111" t="s">
        <v>414</v>
      </c>
      <c r="J109" s="76"/>
      <c r="K109" s="76"/>
      <c r="L109" s="640">
        <f t="shared" si="7"/>
        <v>0</v>
      </c>
      <c r="N109" s="315"/>
      <c r="O109" s="605"/>
      <c r="P109" s="606"/>
      <c r="Q109" s="598"/>
      <c r="R109" s="598"/>
      <c r="S109" s="598"/>
      <c r="X109" s="181">
        <v>25</v>
      </c>
      <c r="Y109" s="449" t="str">
        <f t="shared" si="8"/>
        <v/>
      </c>
      <c r="Z109" s="289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</row>
    <row r="110" spans="2:47" ht="12.75" customHeight="1">
      <c r="B110" s="303" t="str">
        <f>Texte!A217</f>
        <v>Prati e pascoli</v>
      </c>
      <c r="C110" s="304"/>
      <c r="D110" s="304"/>
      <c r="E110" s="304" t="str">
        <f>Texte!A218</f>
        <v>poco intensivi (1-3  utilizzazioni)</v>
      </c>
      <c r="F110" s="304"/>
      <c r="G110" s="304"/>
      <c r="H110" s="305"/>
      <c r="I110" s="111" t="s">
        <v>630</v>
      </c>
      <c r="J110" s="76"/>
      <c r="K110" s="76"/>
      <c r="L110" s="640">
        <f t="shared" si="7"/>
        <v>0</v>
      </c>
      <c r="N110" s="315"/>
      <c r="O110" s="605"/>
      <c r="P110" s="606"/>
      <c r="Q110" s="598"/>
      <c r="R110" s="598"/>
      <c r="S110" s="598"/>
      <c r="X110" s="181">
        <v>65</v>
      </c>
      <c r="Y110" s="449" t="str">
        <f t="shared" si="8"/>
        <v/>
      </c>
      <c r="Z110" s="289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</row>
    <row r="111" spans="2:47" ht="12.75" customHeight="1">
      <c r="B111" s="303"/>
      <c r="C111" s="304"/>
      <c r="D111" s="304"/>
      <c r="E111" s="304" t="str">
        <f>Texte!A219</f>
        <v>mediamente intensivi (1-4 utili.)</v>
      </c>
      <c r="F111" s="304"/>
      <c r="G111" s="304"/>
      <c r="H111" s="305"/>
      <c r="I111" s="111" t="s">
        <v>632</v>
      </c>
      <c r="J111" s="76"/>
      <c r="K111" s="76"/>
      <c r="L111" s="640">
        <f t="shared" si="7"/>
        <v>0</v>
      </c>
      <c r="N111" s="315"/>
      <c r="O111" s="605"/>
      <c r="P111" s="606"/>
      <c r="Q111" s="598"/>
      <c r="R111" s="598"/>
      <c r="S111" s="598"/>
      <c r="X111" s="181">
        <v>100</v>
      </c>
      <c r="Y111" s="449" t="str">
        <f t="shared" si="8"/>
        <v/>
      </c>
      <c r="Z111" s="289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</row>
    <row r="112" spans="2:47" ht="12.75" customHeight="1">
      <c r="B112" s="424"/>
      <c r="C112" s="425"/>
      <c r="D112" s="425"/>
      <c r="E112" s="425" t="str">
        <f>Texte!A220</f>
        <v>intensivi (2-6 utilizzazioni)</v>
      </c>
      <c r="F112" s="425"/>
      <c r="G112" s="425"/>
      <c r="H112" s="426"/>
      <c r="I112" s="111" t="s">
        <v>554</v>
      </c>
      <c r="J112" s="76"/>
      <c r="K112" s="430" t="str">
        <f>IF($J$112="","",(L158-SUM(L97:L111))/J112)</f>
        <v/>
      </c>
      <c r="L112" s="642">
        <f>IF($J$112="",$L$158-SUM($L$97:$L$111),$J$112*$K$112)</f>
        <v>0</v>
      </c>
      <c r="N112" s="315"/>
      <c r="O112" s="607"/>
      <c r="P112" s="313"/>
      <c r="Q112" s="598"/>
      <c r="R112" s="598"/>
      <c r="S112" s="598"/>
      <c r="X112" s="181">
        <v>135</v>
      </c>
      <c r="Y112" s="449" t="str">
        <f t="shared" si="8"/>
        <v/>
      </c>
      <c r="Z112" s="289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</row>
    <row r="113" spans="2:47" ht="12.75" customHeight="1">
      <c r="B113" s="318"/>
      <c r="C113" s="318"/>
      <c r="D113" s="318"/>
      <c r="E113" s="318"/>
      <c r="F113" s="175" t="str">
        <f>IF(AND(ROUND($L$112,0)&lt;&gt;0,$J$112=""),Texte!A242,"")</f>
        <v/>
      </c>
      <c r="I113" s="294"/>
      <c r="J113" s="515"/>
      <c r="L113" s="288"/>
      <c r="M113" s="288" t="str">
        <f>IF(COUNT($Y$104:$Y$112)&gt;0,Texte!$A$226,"")</f>
        <v/>
      </c>
      <c r="N113" s="319"/>
      <c r="O113" s="565"/>
      <c r="P113" s="565"/>
      <c r="Q113" s="548"/>
      <c r="R113" s="548"/>
      <c r="S113" s="548"/>
      <c r="Y113" s="155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</row>
    <row r="114" spans="2:47" ht="12.75" customHeight="1">
      <c r="B114" s="318" t="str">
        <f>Texte!A221</f>
        <v>Superficie inerbita</v>
      </c>
      <c r="C114" s="318"/>
      <c r="D114" s="318"/>
      <c r="E114" s="318"/>
      <c r="I114" s="155"/>
      <c r="J114" s="643">
        <f>SUM(J105:J112)</f>
        <v>0</v>
      </c>
      <c r="K114" s="173" t="s">
        <v>183</v>
      </c>
      <c r="N114" s="288"/>
      <c r="O114" s="399"/>
      <c r="P114" s="480"/>
      <c r="Q114" s="480"/>
      <c r="R114" s="480"/>
      <c r="S114" s="480"/>
      <c r="X114" s="181"/>
      <c r="Y114" s="314" t="s">
        <v>1126</v>
      </c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</row>
    <row r="115" spans="2:47" ht="12.75" customHeight="1">
      <c r="B115" s="318" t="str">
        <f>Texte!A222</f>
        <v>Superficie con coltura intercalare</v>
      </c>
      <c r="C115" s="318"/>
      <c r="D115" s="318"/>
      <c r="E115" s="318"/>
      <c r="I115" s="155"/>
      <c r="J115" s="643">
        <f>SUM(J101,J104)</f>
        <v>0</v>
      </c>
      <c r="K115" s="173" t="s">
        <v>183</v>
      </c>
      <c r="O115" s="308"/>
      <c r="P115" s="413"/>
      <c r="Q115" s="413"/>
      <c r="R115" s="413"/>
      <c r="S115" s="413"/>
      <c r="X115" s="314" t="s">
        <v>1127</v>
      </c>
      <c r="Y115" s="477">
        <f>SUM(J107,J109,J110)</f>
        <v>0</v>
      </c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</row>
    <row r="116" spans="2:47" ht="12.75" customHeight="1">
      <c r="B116" s="318" t="str">
        <f>Texte!A223</f>
        <v>B1: produzione totale foraggio di base</v>
      </c>
      <c r="C116" s="318"/>
      <c r="D116" s="318"/>
      <c r="E116" s="318"/>
      <c r="I116" s="155"/>
      <c r="J116" s="321"/>
      <c r="K116" s="173"/>
      <c r="L116" s="644">
        <f>SUM(L97:L112)</f>
        <v>0</v>
      </c>
      <c r="M116" s="149" t="str">
        <f>Texte!A104</f>
        <v>q SS</v>
      </c>
      <c r="N116" s="175"/>
      <c r="O116" s="320"/>
      <c r="P116" s="320"/>
      <c r="Q116" s="320"/>
      <c r="R116" s="320"/>
      <c r="S116" s="320"/>
      <c r="X116" s="314" t="s">
        <v>1128</v>
      </c>
      <c r="Y116" s="477">
        <f>SUM(O106:O112)</f>
        <v>0</v>
      </c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</row>
    <row r="117" spans="2:47" ht="12.75" customHeight="1">
      <c r="B117" s="318" t="str">
        <f>Texte!A224</f>
        <v>B2: produzione foraggio di base prati e pascoli</v>
      </c>
      <c r="C117" s="318"/>
      <c r="D117" s="318"/>
      <c r="E117" s="318"/>
      <c r="I117" s="155"/>
      <c r="J117" s="321"/>
      <c r="K117" s="173"/>
      <c r="L117" s="644">
        <f>SUM(L104:L112)</f>
        <v>0</v>
      </c>
      <c r="M117" s="149" t="str">
        <f>Texte!A104</f>
        <v>q SS</v>
      </c>
      <c r="N117" s="175"/>
      <c r="O117" s="175"/>
      <c r="P117" s="175"/>
      <c r="Q117" s="175"/>
      <c r="R117" s="175"/>
      <c r="S117" s="175"/>
      <c r="X117" s="314" t="s">
        <v>1129</v>
      </c>
      <c r="Y117" s="477">
        <f>SUM(P106:P112)</f>
        <v>0</v>
      </c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</row>
    <row r="118" spans="2:47" ht="12.75" customHeight="1">
      <c r="B118" s="318" t="str">
        <f>Texte!A225</f>
        <v>B3: altra produzione di foraggio di base</v>
      </c>
      <c r="C118" s="318"/>
      <c r="D118" s="318"/>
      <c r="E118" s="318"/>
      <c r="I118" s="155"/>
      <c r="J118" s="321"/>
      <c r="K118" s="173"/>
      <c r="L118" s="644">
        <f>SUM(L97:L103)</f>
        <v>0</v>
      </c>
      <c r="M118" s="149" t="str">
        <f>Texte!A104</f>
        <v>q SS</v>
      </c>
      <c r="N118" s="175"/>
      <c r="O118" s="175"/>
      <c r="P118" s="175"/>
      <c r="Q118" s="175"/>
      <c r="R118" s="175"/>
      <c r="S118" s="175"/>
      <c r="X118" s="314" t="s">
        <v>1130</v>
      </c>
      <c r="Y118" s="477" t="str">
        <f>IF(Y117&gt;Y115,"ja","")</f>
        <v/>
      </c>
      <c r="Z118" s="173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</row>
    <row r="119" spans="2:47" ht="11.45" customHeight="1">
      <c r="B119" s="318"/>
      <c r="C119" s="318"/>
      <c r="D119" s="318"/>
      <c r="E119" s="318"/>
      <c r="I119" s="155"/>
      <c r="J119" s="321"/>
      <c r="N119" s="175"/>
      <c r="O119" s="175"/>
      <c r="P119" s="175"/>
      <c r="Q119" s="175"/>
      <c r="R119" s="175"/>
      <c r="S119" s="175"/>
      <c r="X119" s="314" t="s">
        <v>1131</v>
      </c>
      <c r="Y119" s="477" t="str">
        <f>IF(O113&lt;&gt;J114,"ja","")</f>
        <v/>
      </c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</row>
    <row r="120" spans="2:47" ht="15.95" customHeight="1">
      <c r="B120" s="323" t="str">
        <f>Texte!A248</f>
        <v>Parte C: ritiri e cessioni di foraggio di base</v>
      </c>
      <c r="C120" s="218"/>
      <c r="D120" s="218"/>
      <c r="E120" s="218"/>
      <c r="F120" s="155"/>
      <c r="G120" s="155"/>
      <c r="H120" s="277"/>
      <c r="I120" s="278"/>
      <c r="J120" s="278"/>
      <c r="K120" s="282"/>
      <c r="L120" s="282"/>
      <c r="M120" s="277"/>
      <c r="N120" s="277"/>
      <c r="O120" s="323" t="str">
        <f>Texte!A295</f>
        <v>Vacche madri &amp; vitelli</v>
      </c>
      <c r="P120" s="277"/>
      <c r="Q120" s="277"/>
      <c r="R120" s="277"/>
      <c r="S120" s="277"/>
      <c r="T120" s="277"/>
      <c r="U120" s="139"/>
      <c r="V120" s="139"/>
      <c r="W120" s="139"/>
      <c r="X120" s="314" t="s">
        <v>1132</v>
      </c>
      <c r="Y120" s="477" t="str">
        <f>IF(AND(Y117=0,Y115&lt;&gt;0),"ja","")</f>
        <v/>
      </c>
      <c r="Z120" s="139"/>
      <c r="AA120" s="139"/>
      <c r="AB120" s="139"/>
      <c r="AC120" s="139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</row>
    <row r="121" spans="2:47" ht="7.7" customHeight="1">
      <c r="B121" s="323"/>
      <c r="C121" s="218"/>
      <c r="D121" s="218"/>
      <c r="E121" s="218"/>
      <c r="F121" s="155"/>
      <c r="G121" s="155"/>
      <c r="H121" s="277"/>
      <c r="I121" s="278"/>
      <c r="J121" s="278"/>
      <c r="K121" s="282"/>
      <c r="L121" s="282"/>
      <c r="M121" s="277"/>
      <c r="N121" s="277"/>
      <c r="O121" s="277"/>
      <c r="P121" s="277"/>
      <c r="Q121" s="277"/>
      <c r="R121" s="277"/>
      <c r="S121" s="277"/>
      <c r="T121" s="277"/>
      <c r="U121" s="324"/>
      <c r="V121" s="324"/>
      <c r="W121" s="324"/>
      <c r="X121" s="324"/>
      <c r="Y121" s="277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</row>
    <row r="122" spans="2:47" ht="12.75" customHeight="1">
      <c r="B122" s="292" t="str">
        <f>Texte!A249</f>
        <v>Consumo foraggio di base nell'azienda</v>
      </c>
      <c r="C122" s="325"/>
      <c r="D122" s="325"/>
      <c r="E122" s="325"/>
      <c r="F122" s="294"/>
      <c r="G122" s="294"/>
      <c r="H122" s="326"/>
      <c r="I122" s="327"/>
      <c r="J122" s="327"/>
      <c r="K122" s="328"/>
      <c r="L122" s="322">
        <f>L82</f>
        <v>0</v>
      </c>
      <c r="M122" s="277" t="str">
        <f>Texte!A104</f>
        <v>q SS</v>
      </c>
      <c r="N122" s="277"/>
      <c r="O122" s="619" t="str">
        <f>Texte!A296</f>
        <v>di cui foraggiato a</v>
      </c>
      <c r="P122" s="620"/>
      <c r="Q122" s="277"/>
      <c r="R122" s="277"/>
      <c r="S122" s="277"/>
      <c r="T122" s="277"/>
      <c r="U122" s="324"/>
      <c r="V122" s="324"/>
      <c r="W122" s="324"/>
      <c r="X122" s="324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</row>
    <row r="123" spans="2:47" ht="12.75" customHeight="1">
      <c r="B123" s="329" t="str">
        <f>Texte!A250</f>
        <v>Ritiri, cessioni e produzione di foraggio di base al di fuori della superficie foraggera (SF)</v>
      </c>
      <c r="C123" s="325"/>
      <c r="D123" s="325"/>
      <c r="E123" s="325"/>
      <c r="F123" s="294"/>
      <c r="G123" s="294"/>
      <c r="H123" s="326"/>
      <c r="I123" s="327"/>
      <c r="J123" s="327"/>
      <c r="K123" s="328"/>
      <c r="L123" s="330"/>
      <c r="M123" s="277"/>
      <c r="N123" s="277"/>
      <c r="O123" s="622" t="str">
        <f>Texte!A297</f>
        <v>vacche madri &amp; vitelli q. SS</v>
      </c>
      <c r="P123" s="623"/>
      <c r="Q123" s="277"/>
      <c r="R123" s="277"/>
      <c r="S123" s="277"/>
      <c r="T123" s="277"/>
      <c r="U123" s="324"/>
      <c r="V123" s="471" t="s">
        <v>1115</v>
      </c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</row>
    <row r="124" spans="2:47" ht="12.75" customHeight="1">
      <c r="B124" s="329" t="str">
        <f>Texte!A251</f>
        <v>Tipi di foraggio di base</v>
      </c>
      <c r="C124" s="325"/>
      <c r="D124" s="325"/>
      <c r="E124" s="325"/>
      <c r="F124" s="331" t="str">
        <f>Texte!A252</f>
        <v>Quantità</v>
      </c>
      <c r="G124" s="331" t="str">
        <f>Texte!A254</f>
        <v>%</v>
      </c>
      <c r="H124" s="332" t="str">
        <f>Texte!A256</f>
        <v>Codice</v>
      </c>
      <c r="I124" s="333" t="str">
        <f>Texte!A257</f>
        <v>Cessioni</v>
      </c>
      <c r="J124" s="333" t="str">
        <f>Texte!A261</f>
        <v xml:space="preserve">Ritiri </v>
      </c>
      <c r="K124" s="334" t="str">
        <f>Texte!A262</f>
        <v>al di fuori SF</v>
      </c>
      <c r="L124" s="330"/>
      <c r="M124" s="277" t="str">
        <f>Texte!A256</f>
        <v>Codice</v>
      </c>
      <c r="N124" s="277"/>
      <c r="O124" s="624" t="str">
        <f>Texte!A298</f>
        <v>quantità</v>
      </c>
      <c r="P124" s="625"/>
      <c r="Q124" s="277"/>
      <c r="R124" s="277"/>
      <c r="S124" s="277"/>
      <c r="T124" s="277"/>
      <c r="U124" s="324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</row>
    <row r="125" spans="2:47" ht="12.75" customHeight="1">
      <c r="B125" s="335"/>
      <c r="C125" s="218"/>
      <c r="D125" s="218"/>
      <c r="E125" s="218"/>
      <c r="F125" s="336" t="str">
        <f>Texte!A253</f>
        <v>q</v>
      </c>
      <c r="G125" s="336" t="str">
        <f>Texte!A255</f>
        <v>SS</v>
      </c>
      <c r="H125" s="337" t="s">
        <v>613</v>
      </c>
      <c r="I125" s="338" t="str">
        <f>Texte!A258</f>
        <v>q SS</v>
      </c>
      <c r="J125" s="338" t="str">
        <f>Texte!A258</f>
        <v>q SS</v>
      </c>
      <c r="K125" s="338" t="str">
        <f>Texte!A258</f>
        <v>q SS</v>
      </c>
      <c r="L125" s="330"/>
      <c r="M125" s="277" t="str">
        <f>Texte!A201</f>
        <v>1=vendita</v>
      </c>
      <c r="N125" s="277"/>
      <c r="O125" s="614" t="str">
        <f>Texte!A299</f>
        <v>q SS</v>
      </c>
      <c r="P125" s="226"/>
      <c r="Q125" s="277"/>
      <c r="R125" s="277"/>
      <c r="S125" s="277"/>
      <c r="V125" s="339">
        <v>1</v>
      </c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</row>
    <row r="126" spans="2:47" ht="12.75" customHeight="1">
      <c r="B126" s="300" t="str">
        <f>Texte!A264</f>
        <v>Erba</v>
      </c>
      <c r="C126" s="301"/>
      <c r="D126" s="301"/>
      <c r="E126" s="301"/>
      <c r="F126" s="90"/>
      <c r="G126" s="3"/>
      <c r="H126" s="51"/>
      <c r="I126" s="645" t="str">
        <f t="shared" ref="I126:I137" si="9">IF(H126=1,F126*G126/100,"")</f>
        <v/>
      </c>
      <c r="J126" s="645" t="str">
        <f t="shared" ref="J126:J147" si="10">IF(H126=2,F126*G126/100,"")</f>
        <v/>
      </c>
      <c r="K126" s="340"/>
      <c r="L126" s="330"/>
      <c r="M126" s="277" t="str">
        <f>Texte!A202</f>
        <v>2=acquisto</v>
      </c>
      <c r="N126" s="277"/>
      <c r="O126" s="603"/>
      <c r="P126" s="604"/>
      <c r="Q126" s="277"/>
      <c r="R126" s="277"/>
      <c r="S126" s="277"/>
      <c r="V126" s="339">
        <v>2</v>
      </c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</row>
    <row r="127" spans="2:47" ht="12.75" customHeight="1">
      <c r="B127" s="341" t="str">
        <f>Texte!A265</f>
        <v>Insilato d'erba</v>
      </c>
      <c r="C127" s="252"/>
      <c r="D127" s="252"/>
      <c r="E127" s="252"/>
      <c r="F127" s="90"/>
      <c r="G127" s="3"/>
      <c r="H127" s="51"/>
      <c r="I127" s="637" t="str">
        <f t="shared" si="9"/>
        <v/>
      </c>
      <c r="J127" s="637" t="str">
        <f t="shared" si="10"/>
        <v/>
      </c>
      <c r="K127" s="343"/>
      <c r="L127" s="330"/>
      <c r="M127" s="277" t="str">
        <f>Texte!A203</f>
        <v>3=al di fuori SF</v>
      </c>
      <c r="O127" s="605"/>
      <c r="P127" s="606"/>
      <c r="V127" s="344">
        <v>3</v>
      </c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</row>
    <row r="128" spans="2:47" ht="12.75" customHeight="1">
      <c r="B128" s="341" t="str">
        <f>Texte!A266</f>
        <v>Cubetti d'erba</v>
      </c>
      <c r="C128" s="252"/>
      <c r="D128" s="252"/>
      <c r="E128" s="252"/>
      <c r="F128" s="90"/>
      <c r="G128" s="3"/>
      <c r="H128" s="51"/>
      <c r="I128" s="637" t="str">
        <f t="shared" si="9"/>
        <v/>
      </c>
      <c r="J128" s="637" t="str">
        <f t="shared" si="10"/>
        <v/>
      </c>
      <c r="K128" s="343"/>
      <c r="L128" s="330"/>
      <c r="M128" s="277"/>
      <c r="N128" s="277"/>
      <c r="O128" s="605"/>
      <c r="P128" s="606"/>
      <c r="Q128" s="277"/>
      <c r="R128" s="277"/>
      <c r="S128" s="277"/>
      <c r="T128" s="192"/>
      <c r="U128" s="277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</row>
    <row r="129" spans="2:47" ht="12.75" customHeight="1">
      <c r="B129" s="251" t="str">
        <f>Texte!A267</f>
        <v>Foraggio essiccato</v>
      </c>
      <c r="C129" s="252"/>
      <c r="D129" s="252"/>
      <c r="E129" s="252"/>
      <c r="F129" s="91"/>
      <c r="G129" s="4"/>
      <c r="H129" s="51"/>
      <c r="I129" s="637" t="str">
        <f t="shared" si="9"/>
        <v/>
      </c>
      <c r="J129" s="637" t="str">
        <f t="shared" si="10"/>
        <v/>
      </c>
      <c r="K129" s="343"/>
      <c r="L129" s="330"/>
      <c r="O129" s="605"/>
      <c r="P129" s="606"/>
      <c r="U129" s="277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</row>
    <row r="130" spans="2:47" ht="12.75" customHeight="1">
      <c r="B130" s="217" t="str">
        <f>Texte!A268</f>
        <v>Foraggio essiccato, a tenore ridotto di sost. nutri.</v>
      </c>
      <c r="C130" s="276"/>
      <c r="D130" s="276"/>
      <c r="E130" s="276"/>
      <c r="F130" s="92"/>
      <c r="G130" s="54"/>
      <c r="H130" s="51"/>
      <c r="I130" s="636" t="str">
        <f t="shared" si="9"/>
        <v/>
      </c>
      <c r="J130" s="636" t="str">
        <f t="shared" si="10"/>
        <v/>
      </c>
      <c r="K130" s="343"/>
      <c r="L130" s="330"/>
      <c r="M130" s="277"/>
      <c r="N130" s="277"/>
      <c r="O130" s="605"/>
      <c r="P130" s="606"/>
      <c r="Q130" s="277"/>
      <c r="R130" s="277"/>
      <c r="S130" s="277"/>
      <c r="T130" s="277"/>
      <c r="U130" s="277"/>
      <c r="V130" s="181" t="s">
        <v>124</v>
      </c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</row>
    <row r="131" spans="2:47" ht="12.75" customHeight="1">
      <c r="B131" s="433" t="str">
        <f>Texte!A269</f>
        <v>Insilato di cereali</v>
      </c>
      <c r="C131" s="434"/>
      <c r="D131" s="434"/>
      <c r="E131" s="434"/>
      <c r="F131" s="372"/>
      <c r="G131" s="342"/>
      <c r="H131" s="55"/>
      <c r="I131" s="673" t="str">
        <f t="shared" si="9"/>
        <v/>
      </c>
      <c r="J131" s="647" t="str">
        <f t="shared" si="10"/>
        <v/>
      </c>
      <c r="K131" s="340"/>
      <c r="L131" s="330"/>
      <c r="M131" s="277"/>
      <c r="N131" s="277"/>
      <c r="O131" s="670"/>
      <c r="P131" s="671"/>
      <c r="Q131" s="621" t="str">
        <f>IF(AND($H131=1,$O131&gt;0),Texte!$A$300,IF(AND($H131=2,$O131&gt;$J131),Texte!$A$300,IF(AND($H131=3,$O131&gt;$K131),Texte!$A$300,"")))</f>
        <v/>
      </c>
      <c r="R131" s="277"/>
      <c r="S131" s="277"/>
      <c r="T131" s="277"/>
      <c r="U131" s="277"/>
      <c r="V131" s="181" t="b">
        <f>IF(AND(ISBLANK(O131),OR(J131,K131)&lt;&gt;0),1)</f>
        <v>0</v>
      </c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</row>
    <row r="132" spans="2:47" ht="12.75" customHeight="1">
      <c r="B132" s="346" t="str">
        <f>Texte!A270</f>
        <v>Insilato di cereali con leguminose</v>
      </c>
      <c r="C132" s="347"/>
      <c r="D132" s="347"/>
      <c r="E132" s="347"/>
      <c r="F132" s="91"/>
      <c r="G132" s="4"/>
      <c r="H132" s="51"/>
      <c r="I132" s="674" t="str">
        <f t="shared" si="9"/>
        <v/>
      </c>
      <c r="J132" s="637" t="str">
        <f t="shared" si="10"/>
        <v/>
      </c>
      <c r="K132" s="343"/>
      <c r="L132" s="330"/>
      <c r="M132" s="277"/>
      <c r="N132" s="277"/>
      <c r="O132" s="615"/>
      <c r="P132" s="616"/>
      <c r="Q132" s="621" t="str">
        <f>IF(AND($H132=1,$O132&gt;0),Texte!$A$300,IF(AND($H132=2,$O132&gt;$J132),Texte!$A$300,IF(AND($H132=3,$O132&gt;$K132),Texte!$A$300,"")))</f>
        <v/>
      </c>
      <c r="R132" s="277"/>
      <c r="S132" s="277"/>
      <c r="T132" s="277"/>
      <c r="U132" s="277"/>
      <c r="V132" s="181" t="b">
        <f>IF(AND(ISBLANK(O132),OR(J132,K132)&lt;&gt;0),1)</f>
        <v>0</v>
      </c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</row>
    <row r="133" spans="2:47" ht="12.75" customHeight="1">
      <c r="B133" s="346" t="str">
        <f>Texte!A271</f>
        <v>Mais da silo</v>
      </c>
      <c r="C133" s="347"/>
      <c r="D133" s="347"/>
      <c r="E133" s="347"/>
      <c r="F133" s="91"/>
      <c r="G133" s="4"/>
      <c r="H133" s="51"/>
      <c r="I133" s="637" t="str">
        <f t="shared" si="9"/>
        <v/>
      </c>
      <c r="J133" s="637" t="str">
        <f t="shared" si="10"/>
        <v/>
      </c>
      <c r="K133" s="343"/>
      <c r="L133" s="330"/>
      <c r="O133" s="615"/>
      <c r="P133" s="616"/>
      <c r="Q133" s="621" t="str">
        <f>IF(AND($H133=1,$O133&gt;0),Texte!$A$300,IF(AND($H133=2,$O133&gt;$J133),Texte!$A$300,IF(AND($H133=3,$O133&gt;$K133),Texte!$A$300,"")))</f>
        <v/>
      </c>
      <c r="V133" s="181" t="b">
        <f t="shared" ref="V133:V147" si="11">IF(AND(ISBLANK(O133),OR(J133,K133)&lt;&gt;0),1)</f>
        <v>0</v>
      </c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</row>
    <row r="134" spans="2:47" ht="12.75" customHeight="1">
      <c r="B134" s="251" t="str">
        <f>Texte!A272</f>
        <v>Mais verde</v>
      </c>
      <c r="C134" s="348"/>
      <c r="D134" s="348"/>
      <c r="E134" s="348"/>
      <c r="F134" s="91"/>
      <c r="G134" s="4"/>
      <c r="H134" s="51"/>
      <c r="I134" s="637" t="str">
        <f t="shared" si="9"/>
        <v/>
      </c>
      <c r="J134" s="637" t="str">
        <f t="shared" si="10"/>
        <v/>
      </c>
      <c r="K134" s="343"/>
      <c r="L134" s="330"/>
      <c r="O134" s="615"/>
      <c r="P134" s="616"/>
      <c r="Q134" s="621" t="str">
        <f>IF(AND($H134=1,$O134&gt;0),Texte!$A$300,IF(AND($H134=2,$O134&gt;$J134),Texte!$A$300,IF(AND($H134=3,$O134&gt;$K134),Texte!$A$300,"")))</f>
        <v/>
      </c>
      <c r="V134" s="181" t="b">
        <f t="shared" si="11"/>
        <v>0</v>
      </c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</row>
    <row r="135" spans="2:47" ht="12.75" customHeight="1">
      <c r="B135" s="251" t="str">
        <f>Texte!A273</f>
        <v>Cubetti da mais pianta intera</v>
      </c>
      <c r="C135" s="348"/>
      <c r="D135" s="348"/>
      <c r="E135" s="348"/>
      <c r="F135" s="91"/>
      <c r="G135" s="4"/>
      <c r="H135" s="51"/>
      <c r="I135" s="637" t="str">
        <f t="shared" si="9"/>
        <v/>
      </c>
      <c r="J135" s="637" t="str">
        <f t="shared" si="10"/>
        <v/>
      </c>
      <c r="K135" s="343"/>
      <c r="L135" s="330"/>
      <c r="O135" s="615"/>
      <c r="P135" s="616"/>
      <c r="Q135" s="621" t="str">
        <f>IF(AND($H135=1,$O135&gt;0),Texte!$A$300,IF(AND($H135=2,$O135&gt;$J135),Texte!$A$300,IF(AND($H135=3,$O135&gt;$K135),Texte!$A$300,"")))</f>
        <v/>
      </c>
      <c r="V135" s="181" t="b">
        <f t="shared" si="11"/>
        <v>0</v>
      </c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</row>
    <row r="136" spans="2:47" ht="12.75" customHeight="1">
      <c r="B136" s="251" t="str">
        <f>Texte!A274</f>
        <v>CCM (per l'ingrasso di bovini)</v>
      </c>
      <c r="C136" s="348"/>
      <c r="D136" s="348"/>
      <c r="E136" s="348"/>
      <c r="F136" s="91"/>
      <c r="G136" s="4"/>
      <c r="H136" s="51"/>
      <c r="I136" s="351" t="str">
        <f t="shared" si="9"/>
        <v/>
      </c>
      <c r="J136" s="637" t="str">
        <f t="shared" si="10"/>
        <v/>
      </c>
      <c r="K136" s="637" t="str">
        <f>IF(H136=3,F136*G136/100,"")</f>
        <v/>
      </c>
      <c r="L136" s="330"/>
      <c r="O136" s="615"/>
      <c r="P136" s="616"/>
      <c r="Q136" s="621" t="str">
        <f>IF(AND($H136=1,$O136&gt;0),Texte!$A$300,IF(AND($H136=2,$O136&gt;$J136),Texte!$A$300,IF(AND($H136=3,$O136&gt;$K136),Texte!$A$300,"")))</f>
        <v/>
      </c>
      <c r="V136" s="181" t="b">
        <f t="shared" si="11"/>
        <v>0</v>
      </c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</row>
    <row r="137" spans="2:47" ht="12.75" customHeight="1">
      <c r="B137" s="251" t="str">
        <f>Texte!A275</f>
        <v>Barbabietole da foraggio</v>
      </c>
      <c r="C137" s="348"/>
      <c r="D137" s="348"/>
      <c r="E137" s="348"/>
      <c r="F137" s="91"/>
      <c r="G137" s="4"/>
      <c r="H137" s="51"/>
      <c r="I137" s="637" t="str">
        <f t="shared" si="9"/>
        <v/>
      </c>
      <c r="J137" s="637" t="str">
        <f t="shared" si="10"/>
        <v/>
      </c>
      <c r="K137" s="349"/>
      <c r="L137" s="330"/>
      <c r="O137" s="615"/>
      <c r="P137" s="616"/>
      <c r="Q137" s="621" t="str">
        <f>IF(AND($H137=1,$O137&gt;0),Texte!$A$300,IF(AND($H137=2,$O137&gt;$J137),Texte!$A$300,IF(AND($H137=3,$O137&gt;$K137),Texte!$A$300,"")))</f>
        <v/>
      </c>
      <c r="V137" s="181" t="b">
        <f t="shared" si="11"/>
        <v>0</v>
      </c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</row>
    <row r="138" spans="2:47" ht="12.75" customHeight="1">
      <c r="B138" s="251" t="str">
        <f>Texte!A276</f>
        <v>Barbabietole da zucchero</v>
      </c>
      <c r="C138" s="348"/>
      <c r="D138" s="348"/>
      <c r="E138" s="348"/>
      <c r="F138" s="91"/>
      <c r="G138" s="4"/>
      <c r="H138" s="51"/>
      <c r="I138" s="350"/>
      <c r="J138" s="646" t="str">
        <f t="shared" si="10"/>
        <v/>
      </c>
      <c r="K138" s="637" t="str">
        <f>IF(H138=3,F138*G138/100,"")</f>
        <v/>
      </c>
      <c r="L138" s="330"/>
      <c r="O138" s="615"/>
      <c r="P138" s="616"/>
      <c r="Q138" s="621" t="str">
        <f>IF(AND($H138=1,$O138&gt;0),Texte!$A$300,IF(AND($H138=2,$O138&gt;$J138),Texte!$A$300,IF(AND($H138=3,$O138&gt;$K138),Texte!$A$300,"")))</f>
        <v/>
      </c>
      <c r="V138" s="181" t="b">
        <f t="shared" si="11"/>
        <v>0</v>
      </c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</row>
    <row r="139" spans="2:47" ht="12.75" customHeight="1">
      <c r="B139" s="251" t="str">
        <f>Texte!A277</f>
        <v>Polpa di barbabietola da zucchero, fresca</v>
      </c>
      <c r="C139" s="348"/>
      <c r="D139" s="348"/>
      <c r="E139" s="348"/>
      <c r="F139" s="91"/>
      <c r="G139" s="4"/>
      <c r="H139" s="50">
        <v>2</v>
      </c>
      <c r="I139" s="351"/>
      <c r="J139" s="637">
        <f t="shared" si="10"/>
        <v>0</v>
      </c>
      <c r="K139" s="350"/>
      <c r="L139" s="330"/>
      <c r="O139" s="615"/>
      <c r="P139" s="616"/>
      <c r="Q139" s="621" t="str">
        <f>IF(AND($H139=1,$O139&gt;0),Texte!$A$300,IF(AND($H139=2,$O139&gt;$J139),Texte!$A$300,IF(AND($H139=3,$O139&gt;$K139),Texte!$A$300,"")))</f>
        <v/>
      </c>
      <c r="V139" s="181" t="b">
        <f t="shared" si="11"/>
        <v>0</v>
      </c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</row>
    <row r="140" spans="2:47" ht="12.75" customHeight="1">
      <c r="B140" s="251" t="str">
        <f>Texte!A278</f>
        <v>Polpa di barbabietola da zucchero, insilata</v>
      </c>
      <c r="C140" s="348"/>
      <c r="D140" s="348"/>
      <c r="E140" s="348"/>
      <c r="F140" s="91"/>
      <c r="G140" s="4"/>
      <c r="H140" s="50">
        <v>2</v>
      </c>
      <c r="I140" s="351"/>
      <c r="J140" s="637">
        <f t="shared" si="10"/>
        <v>0</v>
      </c>
      <c r="K140" s="351"/>
      <c r="L140" s="330"/>
      <c r="O140" s="615"/>
      <c r="P140" s="616"/>
      <c r="Q140" s="621" t="str">
        <f>IF(AND($H140=1,$O140&gt;0),Texte!$A$300,IF(AND($H140=2,$O140&gt;$J140),Texte!$A$300,IF(AND($H140=3,$O140&gt;$K140),Texte!$A$300,"")))</f>
        <v/>
      </c>
      <c r="V140" s="181" t="b">
        <f t="shared" si="11"/>
        <v>0</v>
      </c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</row>
    <row r="141" spans="2:47" ht="12.75" customHeight="1">
      <c r="B141" s="251" t="str">
        <f>Texte!A279</f>
        <v>Polpa di barbabietola da zucchero, essiccata</v>
      </c>
      <c r="C141" s="348"/>
      <c r="D141" s="348"/>
      <c r="E141" s="348"/>
      <c r="F141" s="91"/>
      <c r="G141" s="4"/>
      <c r="H141" s="50">
        <v>2</v>
      </c>
      <c r="I141" s="351"/>
      <c r="J141" s="637">
        <f t="shared" si="10"/>
        <v>0</v>
      </c>
      <c r="K141" s="351"/>
      <c r="L141" s="330"/>
      <c r="O141" s="615"/>
      <c r="P141" s="616"/>
      <c r="Q141" s="621" t="str">
        <f>IF(AND($H141=1,$O141&gt;0),Texte!$A$300,IF(AND($H141=2,$O141&gt;$J141),Texte!$A$300,IF(AND($H141=3,$O141&gt;$K141),Texte!$A$300,"")))</f>
        <v/>
      </c>
      <c r="V141" s="181" t="b">
        <f t="shared" si="11"/>
        <v>0</v>
      </c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</row>
    <row r="142" spans="2:47" ht="12.75" customHeight="1">
      <c r="B142" s="251" t="str">
        <f>Texte!A280</f>
        <v>Foglie di barbabietola</v>
      </c>
      <c r="C142" s="348"/>
      <c r="D142" s="348"/>
      <c r="E142" s="348"/>
      <c r="F142" s="91"/>
      <c r="G142" s="4"/>
      <c r="H142" s="50">
        <v>2</v>
      </c>
      <c r="I142" s="351"/>
      <c r="J142" s="637">
        <f t="shared" si="10"/>
        <v>0</v>
      </c>
      <c r="K142" s="352"/>
      <c r="L142" s="330"/>
      <c r="O142" s="615"/>
      <c r="P142" s="616"/>
      <c r="Q142" s="621" t="str">
        <f>IF(AND($H142=1,$O142&gt;0),Texte!$A$300,IF(AND($H142=2,$O142&gt;$J142),Texte!$A$300,IF(AND($H142=3,$O142&gt;$K142),Texte!$A$300,"")))</f>
        <v/>
      </c>
      <c r="V142" s="181" t="b">
        <f t="shared" si="11"/>
        <v>0</v>
      </c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</row>
    <row r="143" spans="2:47" ht="12.75" customHeight="1">
      <c r="B143" s="251" t="str">
        <f>Texte!A281</f>
        <v>Patate</v>
      </c>
      <c r="C143" s="348"/>
      <c r="D143" s="348"/>
      <c r="E143" s="348"/>
      <c r="F143" s="91"/>
      <c r="G143" s="4"/>
      <c r="H143" s="51"/>
      <c r="I143" s="351"/>
      <c r="J143" s="637" t="str">
        <f t="shared" si="10"/>
        <v/>
      </c>
      <c r="K143" s="637" t="str">
        <f>IF(H143=3,F143*G143/100,"")</f>
        <v/>
      </c>
      <c r="L143" s="330"/>
      <c r="O143" s="615"/>
      <c r="P143" s="616"/>
      <c r="Q143" s="621" t="str">
        <f>IF(AND($H143=1,$O143&gt;0),Texte!$A$300,IF(AND($H143=2,$O143&gt;$J143),Texte!$A$300,IF(AND($H143=3,$O143&gt;$K143),Texte!$A$300,"")))</f>
        <v/>
      </c>
      <c r="V143" s="181" t="b">
        <f t="shared" si="11"/>
        <v>0</v>
      </c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</row>
    <row r="144" spans="2:47" ht="12.75" customHeight="1">
      <c r="B144" s="251" t="str">
        <f>Texte!A282</f>
        <v>Radici di cicoria</v>
      </c>
      <c r="C144" s="348"/>
      <c r="D144" s="348"/>
      <c r="E144" s="348"/>
      <c r="F144" s="91"/>
      <c r="G144" s="4"/>
      <c r="H144" s="50">
        <v>2</v>
      </c>
      <c r="I144" s="351"/>
      <c r="J144" s="637">
        <f t="shared" si="10"/>
        <v>0</v>
      </c>
      <c r="K144" s="350"/>
      <c r="L144" s="330"/>
      <c r="O144" s="615"/>
      <c r="P144" s="616"/>
      <c r="Q144" s="621" t="str">
        <f>IF(AND($H144=1,$O144&gt;0),Texte!$A$300,IF(AND($H144=2,$O144&gt;$J144),Texte!$A$300,IF(AND($H144=3,$O144&gt;$K144),Texte!$A$300,"")))</f>
        <v/>
      </c>
      <c r="V144" s="181" t="b">
        <f t="shared" si="11"/>
        <v>0</v>
      </c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</row>
    <row r="145" spans="2:47" ht="12.75" customHeight="1">
      <c r="B145" s="251" t="str">
        <f>Texte!A283</f>
        <v>Cascami della valorizzazione di frutta e verdura</v>
      </c>
      <c r="C145" s="348"/>
      <c r="D145" s="348"/>
      <c r="E145" s="348"/>
      <c r="F145" s="91"/>
      <c r="G145" s="4"/>
      <c r="H145" s="50">
        <v>2</v>
      </c>
      <c r="I145" s="351"/>
      <c r="J145" s="637">
        <f t="shared" si="10"/>
        <v>0</v>
      </c>
      <c r="K145" s="351"/>
      <c r="L145" s="330"/>
      <c r="O145" s="615"/>
      <c r="P145" s="616"/>
      <c r="Q145" s="621" t="str">
        <f>IF(AND($H145=1,$O145&gt;0),Texte!$A$300,IF(AND($H145=2,$O145&gt;$J145),Texte!$A$300,IF(AND($H145=3,$O145&gt;$K145),Texte!$A$300,"")))</f>
        <v/>
      </c>
      <c r="V145" s="181" t="b">
        <f t="shared" si="11"/>
        <v>0</v>
      </c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</row>
    <row r="146" spans="2:47" ht="12.75" customHeight="1">
      <c r="B146" s="251" t="str">
        <f>Texte!A284</f>
        <v>Borlande</v>
      </c>
      <c r="C146" s="348"/>
      <c r="D146" s="348"/>
      <c r="E146" s="348"/>
      <c r="F146" s="91"/>
      <c r="G146" s="4"/>
      <c r="H146" s="50">
        <v>2</v>
      </c>
      <c r="I146" s="351"/>
      <c r="J146" s="637">
        <f t="shared" si="10"/>
        <v>0</v>
      </c>
      <c r="K146" s="351"/>
      <c r="L146" s="330"/>
      <c r="O146" s="615"/>
      <c r="P146" s="616"/>
      <c r="Q146" s="621" t="str">
        <f>IF(AND($H146=1,$O146&gt;0),Texte!$A$300,IF(AND($H146=2,$O146&gt;$J146),Texte!$A$300,IF(AND($H146=3,$O146&gt;$K146),Texte!$A$300,"")))</f>
        <v/>
      </c>
      <c r="V146" s="181" t="b">
        <f t="shared" si="11"/>
        <v>0</v>
      </c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</row>
    <row r="147" spans="2:47" ht="12.75" customHeight="1">
      <c r="B147" s="353" t="str">
        <f>Texte!A285</f>
        <v>Acquisto di paglia a scopo foraggero</v>
      </c>
      <c r="C147" s="354"/>
      <c r="D147" s="354"/>
      <c r="E147" s="354"/>
      <c r="F147" s="93"/>
      <c r="G147" s="58"/>
      <c r="H147" s="59">
        <v>2</v>
      </c>
      <c r="I147" s="355"/>
      <c r="J147" s="638">
        <f t="shared" si="10"/>
        <v>0</v>
      </c>
      <c r="K147" s="355"/>
      <c r="L147" s="356"/>
      <c r="O147" s="617"/>
      <c r="P147" s="618"/>
      <c r="Q147" s="621" t="str">
        <f>IF(AND($H147=1,$O147&gt;0),Texte!$A$300,IF(AND($H147=2,$O147&gt;$J147),Texte!$A$300,IF(AND($H147=3,$O147&gt;$K147),Texte!$A$300,"")))</f>
        <v/>
      </c>
      <c r="V147" s="181" t="b">
        <f t="shared" si="11"/>
        <v>0</v>
      </c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</row>
    <row r="148" spans="2:47" ht="9" customHeight="1">
      <c r="B148" s="217"/>
      <c r="C148" s="155"/>
      <c r="D148" s="155"/>
      <c r="E148" s="155"/>
      <c r="F148" s="277"/>
      <c r="G148" s="277"/>
      <c r="H148" s="277"/>
      <c r="I148" s="277"/>
      <c r="J148" s="277"/>
      <c r="K148" s="277"/>
      <c r="L148" s="357"/>
      <c r="V148" s="181">
        <f>SUM(V131:V147)</f>
        <v>0</v>
      </c>
      <c r="W148" s="652" t="s">
        <v>125</v>
      </c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</row>
    <row r="149" spans="2:47" ht="12.75" customHeight="1">
      <c r="B149" s="232" t="str">
        <f>Texte!A286</f>
        <v>C1: totale cessioni prati e pascoli</v>
      </c>
      <c r="C149" s="155"/>
      <c r="D149" s="155"/>
      <c r="E149" s="277"/>
      <c r="F149" s="277"/>
      <c r="H149" s="324"/>
      <c r="I149" s="648">
        <f>SUM(I126:I130)</f>
        <v>0</v>
      </c>
      <c r="J149" s="324"/>
      <c r="K149" s="324"/>
      <c r="L149" s="644">
        <f>I149</f>
        <v>0</v>
      </c>
      <c r="M149" s="277" t="str">
        <f>Texte!A$258</f>
        <v>q SS</v>
      </c>
      <c r="N149" s="277"/>
      <c r="O149" s="277"/>
      <c r="P149" s="277"/>
      <c r="Q149" s="277"/>
      <c r="R149" s="277"/>
      <c r="S149" s="277"/>
      <c r="T149" s="277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</row>
    <row r="150" spans="2:47" ht="12.75" customHeight="1">
      <c r="B150" s="232" t="str">
        <f>Texte!A287</f>
        <v>C2: totale cessioni altri foraggi di base</v>
      </c>
      <c r="C150" s="155"/>
      <c r="D150" s="155"/>
      <c r="E150" s="277"/>
      <c r="F150" s="277"/>
      <c r="G150" s="324" t="s">
        <v>623</v>
      </c>
      <c r="H150" s="277"/>
      <c r="I150" s="648">
        <f>SUM(I131:I147)</f>
        <v>0</v>
      </c>
      <c r="J150" s="358"/>
      <c r="K150" s="358"/>
      <c r="L150" s="644">
        <f>I150</f>
        <v>0</v>
      </c>
      <c r="M150" s="277" t="str">
        <f>Texte!A$258</f>
        <v>q SS</v>
      </c>
      <c r="N150" s="277"/>
      <c r="O150" s="277"/>
      <c r="P150" s="277"/>
      <c r="Q150" s="277"/>
      <c r="R150" s="277"/>
      <c r="S150" s="277"/>
      <c r="T150" s="359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</row>
    <row r="151" spans="2:47" ht="12.75" customHeight="1">
      <c r="B151" s="232" t="str">
        <f>Texte!A288</f>
        <v>C3. totale ritiri prati e pascoli</v>
      </c>
      <c r="C151" s="155"/>
      <c r="D151" s="155"/>
      <c r="E151" s="277"/>
      <c r="F151" s="277"/>
      <c r="G151" s="324"/>
      <c r="H151" s="277"/>
      <c r="I151" s="277"/>
      <c r="J151" s="644">
        <f>SUM(J126:J130)</f>
        <v>0</v>
      </c>
      <c r="K151" s="358"/>
      <c r="L151" s="644">
        <f>J151*-1</f>
        <v>0</v>
      </c>
      <c r="M151" s="277"/>
      <c r="N151" s="277"/>
      <c r="O151" s="277"/>
      <c r="P151" s="277"/>
      <c r="Q151" s="277"/>
      <c r="R151" s="277"/>
      <c r="S151" s="277"/>
      <c r="T151" s="359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</row>
    <row r="152" spans="2:47" ht="12.75" customHeight="1">
      <c r="B152" s="232" t="str">
        <f>Texte!A289</f>
        <v>C4: totale ritiri altri foraggi di base</v>
      </c>
      <c r="C152" s="155"/>
      <c r="D152" s="155"/>
      <c r="E152" s="155"/>
      <c r="F152" s="277"/>
      <c r="G152" s="277"/>
      <c r="H152" s="324" t="s">
        <v>624</v>
      </c>
      <c r="I152" s="277"/>
      <c r="J152" s="644">
        <f>SUM(J131:J147)</f>
        <v>0</v>
      </c>
      <c r="L152" s="649">
        <f>J152*-1</f>
        <v>0</v>
      </c>
      <c r="M152" s="277" t="str">
        <f>Texte!A$258</f>
        <v>q SS</v>
      </c>
      <c r="N152" s="277"/>
      <c r="O152" s="277"/>
      <c r="P152" s="277"/>
      <c r="Q152" s="277"/>
      <c r="R152" s="277"/>
      <c r="S152" s="277"/>
      <c r="T152" s="359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</row>
    <row r="153" spans="2:47" ht="12.75" customHeight="1">
      <c r="B153" s="232" t="str">
        <f>Texte!A290</f>
        <v>C5: produzione foraggi di base al di fuori della superficie foraggera</v>
      </c>
      <c r="C153" s="155"/>
      <c r="D153" s="155"/>
      <c r="E153" s="155"/>
      <c r="F153" s="277"/>
      <c r="G153" s="277"/>
      <c r="H153" s="324"/>
      <c r="I153" s="277"/>
      <c r="J153" s="277"/>
      <c r="K153" s="644">
        <f>SUM(K126:K147)</f>
        <v>0</v>
      </c>
      <c r="L153" s="650">
        <f>K153*-1</f>
        <v>0</v>
      </c>
      <c r="M153" s="277"/>
      <c r="N153" s="277"/>
      <c r="O153" s="277"/>
      <c r="P153" s="277"/>
      <c r="Q153" s="277"/>
      <c r="R153" s="277"/>
      <c r="S153" s="277"/>
      <c r="T153" s="359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</row>
    <row r="154" spans="2:47" ht="11.45" customHeight="1">
      <c r="B154" s="217"/>
      <c r="C154" s="155"/>
      <c r="D154" s="155"/>
      <c r="E154" s="155"/>
      <c r="F154" s="360"/>
      <c r="G154" s="360"/>
      <c r="H154" s="360"/>
      <c r="I154" s="360"/>
      <c r="J154" s="360"/>
      <c r="K154" s="360"/>
      <c r="L154" s="357"/>
      <c r="M154" s="277"/>
      <c r="N154" s="277"/>
      <c r="O154" s="277"/>
      <c r="P154" s="277"/>
      <c r="Q154" s="277"/>
      <c r="R154" s="277"/>
      <c r="S154" s="277"/>
      <c r="T154" s="277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</row>
    <row r="155" spans="2:47" ht="12.75" customHeight="1">
      <c r="B155" s="232" t="str">
        <f>Texte!A291</f>
        <v>Totale fabbisogno foraggio di base netto</v>
      </c>
      <c r="C155" s="209"/>
      <c r="D155" s="209"/>
      <c r="E155" s="209"/>
      <c r="F155" s="277"/>
      <c r="G155" s="277"/>
      <c r="H155" s="277"/>
      <c r="I155" s="277"/>
      <c r="J155" s="277"/>
      <c r="K155" s="324" t="s">
        <v>626</v>
      </c>
      <c r="L155" s="649">
        <f>SUM(L122:L153)</f>
        <v>0</v>
      </c>
      <c r="M155" s="277" t="str">
        <f>Texte!A$258</f>
        <v>q SS</v>
      </c>
      <c r="N155" s="277"/>
      <c r="O155" s="277"/>
      <c r="P155" s="277"/>
      <c r="Q155" s="277"/>
      <c r="R155" s="277"/>
      <c r="S155" s="277"/>
      <c r="T155" s="277"/>
      <c r="V155" s="199" t="s">
        <v>1085</v>
      </c>
      <c r="W155" s="261"/>
      <c r="X155" s="155"/>
      <c r="Y155" s="155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</row>
    <row r="156" spans="2:47" ht="12.75" customHeight="1">
      <c r="B156" s="217" t="str">
        <f>Texte!A292</f>
        <v xml:space="preserve">C6: più perdite da stoccaggio e da foraggiamento, 0,5% del fabbisogno foraggio di base netto </v>
      </c>
      <c r="C156" s="209"/>
      <c r="D156" s="209"/>
      <c r="E156" s="209"/>
      <c r="F156" s="277"/>
      <c r="G156" s="277"/>
      <c r="H156" s="277"/>
      <c r="I156" s="277"/>
      <c r="J156" s="277"/>
      <c r="K156" s="5"/>
      <c r="L156" s="644">
        <f>L155*K156/100</f>
        <v>0</v>
      </c>
      <c r="M156" s="277" t="str">
        <f>Texte!A$258</f>
        <v>q SS</v>
      </c>
      <c r="N156" s="277"/>
      <c r="O156" s="277"/>
      <c r="P156" s="277"/>
      <c r="Q156" s="277"/>
      <c r="R156" s="277"/>
      <c r="S156" s="277"/>
      <c r="V156" s="449" t="b">
        <f>OR(AND(L82=0,K156&lt;=2.5),AND(L82&gt;0,K156&lt;=5))</f>
        <v>1</v>
      </c>
      <c r="W156" s="261" t="s">
        <v>1098</v>
      </c>
      <c r="X156" s="155"/>
      <c r="Y156" s="155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</row>
    <row r="157" spans="2:47" ht="12.75" customHeight="1">
      <c r="B157" s="217" t="str">
        <f>Texte!A293</f>
        <v>C7: margine d'errore del bilancio del foraggio di base:0-5%</v>
      </c>
      <c r="C157" s="209"/>
      <c r="D157" s="209"/>
      <c r="E157" s="209"/>
      <c r="F157" s="277"/>
      <c r="G157" s="277"/>
      <c r="H157" s="277"/>
      <c r="I157" s="324"/>
      <c r="J157" s="277"/>
      <c r="K157" s="56"/>
      <c r="L157" s="644">
        <f>L155*K157/100</f>
        <v>0</v>
      </c>
      <c r="M157" s="277" t="str">
        <f>Texte!A$258</f>
        <v>q SS</v>
      </c>
      <c r="N157" s="277"/>
      <c r="O157" s="277"/>
      <c r="P157" s="277"/>
      <c r="Q157" s="277"/>
      <c r="R157" s="277"/>
      <c r="S157" s="277"/>
      <c r="T157" s="277"/>
      <c r="V157" s="155"/>
      <c r="W157" s="155"/>
      <c r="X157" s="155"/>
      <c r="Y157" s="155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</row>
    <row r="158" spans="2:47" ht="12.75" customHeight="1">
      <c r="B158" s="238" t="str">
        <f>Texte!A294</f>
        <v xml:space="preserve">Totale foraggio di base prodotto (FB prod) sulla superficie foraggera </v>
      </c>
      <c r="C158" s="239"/>
      <c r="D158" s="239"/>
      <c r="E158" s="239"/>
      <c r="F158" s="361"/>
      <c r="G158" s="361"/>
      <c r="H158" s="361"/>
      <c r="I158" s="361"/>
      <c r="J158" s="361"/>
      <c r="K158" s="239"/>
      <c r="L158" s="649">
        <f>SUM(L155:L157)</f>
        <v>0</v>
      </c>
      <c r="M158" s="277" t="str">
        <f>Texte!A$258</f>
        <v>q SS</v>
      </c>
      <c r="N158" s="277"/>
      <c r="O158" s="277"/>
      <c r="P158" s="277"/>
      <c r="Q158" s="277"/>
      <c r="R158" s="277"/>
      <c r="S158" s="277"/>
      <c r="T158" s="277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</row>
    <row r="159" spans="2:47" ht="11.45" customHeight="1">
      <c r="B159" s="318"/>
      <c r="C159" s="318"/>
      <c r="D159" s="318"/>
      <c r="I159" s="155"/>
      <c r="J159" s="155"/>
      <c r="Y159" s="155"/>
      <c r="AA159" s="362"/>
      <c r="AB159" s="182"/>
      <c r="AC159" s="472" t="s">
        <v>1082</v>
      </c>
      <c r="AD159" s="363">
        <v>0.3</v>
      </c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</row>
    <row r="160" spans="2:47" ht="15.75">
      <c r="B160" s="177" t="str">
        <f>Texte!A302</f>
        <v>Parte D: bilancio</v>
      </c>
      <c r="C160" s="318"/>
      <c r="D160" s="318"/>
      <c r="E160" s="318"/>
      <c r="O160" s="177" t="str">
        <f>Texte!A332</f>
        <v>bilancio per vacche madri e vitelli</v>
      </c>
      <c r="V160" s="181"/>
      <c r="W160" s="181" t="s">
        <v>509</v>
      </c>
      <c r="X160" s="181" t="s">
        <v>510</v>
      </c>
      <c r="Y160" s="261"/>
      <c r="Z160" s="181"/>
      <c r="AA160" s="362" t="s">
        <v>520</v>
      </c>
      <c r="AB160" s="363"/>
      <c r="AD160" s="364" t="s">
        <v>658</v>
      </c>
      <c r="AE160" s="364"/>
      <c r="AF160" s="364"/>
      <c r="AG160" s="362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</row>
    <row r="161" spans="2:47" ht="7.7" customHeight="1">
      <c r="V161" s="181"/>
      <c r="W161" s="181"/>
      <c r="X161" s="181"/>
      <c r="Y161" s="181"/>
      <c r="Z161" s="181"/>
      <c r="AA161" s="182"/>
      <c r="AB161" s="182"/>
      <c r="AD161" s="362"/>
      <c r="AE161" s="362"/>
      <c r="AF161" s="362"/>
      <c r="AG161" s="362"/>
      <c r="AI161" s="365"/>
      <c r="AJ161" s="365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</row>
    <row r="162" spans="2:47" ht="11.45" customHeight="1">
      <c r="B162" s="345"/>
      <c r="C162" s="294"/>
      <c r="D162" s="294"/>
      <c r="E162" s="366"/>
      <c r="F162" s="367" t="str">
        <f>Texte!A313</f>
        <v>Totale</v>
      </c>
      <c r="G162" s="368"/>
      <c r="H162" s="211" t="str">
        <f>Texte!A315</f>
        <v>Prati e</v>
      </c>
      <c r="I162" s="213"/>
      <c r="J162" s="211" t="str">
        <f>Texte!A317</f>
        <v>Altri foraggi di base</v>
      </c>
      <c r="K162" s="213"/>
      <c r="L162" s="367" t="str">
        <f>Texte!A319</f>
        <v>Concentrati</v>
      </c>
      <c r="M162" s="368"/>
      <c r="O162" s="599" t="str">
        <f>Texte!A333</f>
        <v>Totale</v>
      </c>
      <c r="P162" s="599" t="str">
        <f>Texte!A335</f>
        <v>Prati e</v>
      </c>
      <c r="Q162" s="599" t="str">
        <f>Texte!A337</f>
        <v>Altri foraggi di base</v>
      </c>
      <c r="R162" s="599" t="str">
        <f>Texte!A339</f>
        <v>Concentrati</v>
      </c>
      <c r="V162" s="181" t="s">
        <v>203</v>
      </c>
      <c r="W162" s="261">
        <v>75</v>
      </c>
      <c r="X162" s="369">
        <v>85</v>
      </c>
      <c r="Y162" s="362"/>
      <c r="Z162" s="362"/>
      <c r="AA162" s="182" t="str">
        <f>Texte!A232</f>
        <v>Zona di pianura</v>
      </c>
      <c r="AB162" s="363">
        <v>1</v>
      </c>
      <c r="AD162" s="449">
        <f t="shared" ref="AD162:AD167" si="12">($AB162*C199)+(E199*AD$159*$AB162)</f>
        <v>0</v>
      </c>
      <c r="AE162" s="362"/>
      <c r="AF162" s="362"/>
      <c r="AG162" s="362"/>
      <c r="AH162" s="365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</row>
    <row r="163" spans="2:47" ht="11.45" customHeight="1">
      <c r="B163" s="217"/>
      <c r="C163" s="155"/>
      <c r="D163" s="155"/>
      <c r="E163" s="371"/>
      <c r="F163" s="373" t="str">
        <f>Texte!A314</f>
        <v>Fabbisogno</v>
      </c>
      <c r="G163" s="374"/>
      <c r="H163" s="225" t="str">
        <f>Texte!A316</f>
        <v>pascoli</v>
      </c>
      <c r="I163" s="226"/>
      <c r="J163" s="225" t="str">
        <f>Texte!A318</f>
        <v>total</v>
      </c>
      <c r="K163" s="226"/>
      <c r="L163" s="375"/>
      <c r="M163" s="240"/>
      <c r="O163" s="600" t="str">
        <f>Texte!A334</f>
        <v>Fabbisogno</v>
      </c>
      <c r="P163" s="600" t="str">
        <f>Texte!A336</f>
        <v>pascoli</v>
      </c>
      <c r="Q163" s="600" t="str">
        <f>Texte!A338</f>
        <v>total</v>
      </c>
      <c r="R163" s="600"/>
      <c r="V163" s="181" t="s">
        <v>511</v>
      </c>
      <c r="W163" s="261">
        <v>15</v>
      </c>
      <c r="X163" s="369">
        <v>5</v>
      </c>
      <c r="Y163" s="362"/>
      <c r="Z163" s="362"/>
      <c r="AA163" s="182" t="str">
        <f>Texte!A233</f>
        <v>Zona collinare</v>
      </c>
      <c r="AB163" s="363">
        <v>0.8</v>
      </c>
      <c r="AD163" s="449">
        <f t="shared" si="12"/>
        <v>0</v>
      </c>
      <c r="AE163" s="362"/>
      <c r="AF163" s="362"/>
      <c r="AG163" s="362"/>
      <c r="AH163" s="365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</row>
    <row r="164" spans="2:47" ht="11.45" customHeight="1">
      <c r="B164" s="217"/>
      <c r="C164" s="155"/>
      <c r="D164" s="155"/>
      <c r="E164" s="371"/>
      <c r="F164" s="556" t="s">
        <v>260</v>
      </c>
      <c r="G164" s="557"/>
      <c r="H164" s="558" t="s">
        <v>261</v>
      </c>
      <c r="I164" s="559"/>
      <c r="J164" s="558" t="s">
        <v>840</v>
      </c>
      <c r="K164" s="560"/>
      <c r="L164" s="561" t="str">
        <f>Texte!A320</f>
        <v>(A4+A7 in SS)</v>
      </c>
      <c r="M164" s="562"/>
      <c r="O164" s="336"/>
      <c r="P164" s="336"/>
      <c r="Q164" s="336"/>
      <c r="R164" s="336"/>
      <c r="V164" s="181" t="s">
        <v>512</v>
      </c>
      <c r="W164" s="261">
        <v>10</v>
      </c>
      <c r="X164" s="369">
        <v>10</v>
      </c>
      <c r="Y164" s="362"/>
      <c r="Z164" s="362"/>
      <c r="AA164" s="182" t="str">
        <f>Texte!A234</f>
        <v>Zona di montagna 1</v>
      </c>
      <c r="AB164" s="363">
        <v>0.7</v>
      </c>
      <c r="AD164" s="449">
        <f t="shared" si="12"/>
        <v>0</v>
      </c>
      <c r="AE164" s="362"/>
      <c r="AF164" s="362"/>
      <c r="AG164" s="362"/>
      <c r="AH164" s="365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</row>
    <row r="165" spans="2:47" ht="11.45" customHeight="1">
      <c r="B165" s="227"/>
      <c r="C165" s="197"/>
      <c r="D165" s="197"/>
      <c r="E165" s="228"/>
      <c r="F165" s="242" t="s">
        <v>635</v>
      </c>
      <c r="G165" s="376" t="s">
        <v>636</v>
      </c>
      <c r="H165" s="242" t="s">
        <v>635</v>
      </c>
      <c r="I165" s="242" t="s">
        <v>637</v>
      </c>
      <c r="J165" s="242" t="s">
        <v>635</v>
      </c>
      <c r="K165" s="377" t="s">
        <v>636</v>
      </c>
      <c r="L165" s="378" t="s">
        <v>635</v>
      </c>
      <c r="M165" s="379" t="s">
        <v>637</v>
      </c>
      <c r="O165" s="242" t="s">
        <v>635</v>
      </c>
      <c r="P165" s="242" t="s">
        <v>635</v>
      </c>
      <c r="Q165" s="242" t="s">
        <v>635</v>
      </c>
      <c r="R165" s="242" t="s">
        <v>635</v>
      </c>
      <c r="V165" s="181" t="s">
        <v>1101</v>
      </c>
      <c r="W165" s="261">
        <v>90</v>
      </c>
      <c r="X165" s="369">
        <v>90</v>
      </c>
      <c r="Y165" s="362"/>
      <c r="Z165" s="362"/>
      <c r="AA165" s="182" t="str">
        <f>Texte!A235</f>
        <v>Zona di montagna 2</v>
      </c>
      <c r="AB165" s="363">
        <v>0.6</v>
      </c>
      <c r="AD165" s="449">
        <f t="shared" si="12"/>
        <v>0</v>
      </c>
      <c r="AE165" s="362"/>
      <c r="AF165" s="362"/>
      <c r="AG165" s="362"/>
      <c r="AH165" s="365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</row>
    <row r="166" spans="2:47" ht="11.45" customHeight="1">
      <c r="B166" s="300" t="str">
        <f>Texte!A303</f>
        <v>Consumo totale</v>
      </c>
      <c r="C166" s="301"/>
      <c r="D166" s="301"/>
      <c r="E166" s="302"/>
      <c r="F166" s="647">
        <f>$N$86</f>
        <v>0</v>
      </c>
      <c r="G166" s="380"/>
      <c r="H166" s="632"/>
      <c r="I166" s="380"/>
      <c r="J166" s="632"/>
      <c r="K166" s="380"/>
      <c r="L166" s="647"/>
      <c r="M166" s="380"/>
      <c r="O166" s="647">
        <f>SUM(L48:L53)+SUM(M48:M53)*0.88</f>
        <v>0</v>
      </c>
      <c r="P166" s="382"/>
      <c r="Q166" s="382"/>
      <c r="R166" s="382"/>
      <c r="Y166" s="362"/>
      <c r="Z166" s="362"/>
      <c r="AA166" s="182" t="str">
        <f>Texte!A236</f>
        <v>Zona di montagna 3</v>
      </c>
      <c r="AB166" s="363">
        <v>0.5</v>
      </c>
      <c r="AD166" s="449">
        <f t="shared" si="12"/>
        <v>0</v>
      </c>
      <c r="AE166" s="362"/>
      <c r="AF166" s="362"/>
      <c r="AG166" s="186" t="str">
        <f>Texte!A360</f>
        <v>valore limite</v>
      </c>
      <c r="AH166" s="149"/>
      <c r="AI166" s="149"/>
      <c r="AJ166" s="149"/>
      <c r="AK166" s="158"/>
      <c r="AL166" s="158"/>
      <c r="AM166" s="158"/>
      <c r="AN166" s="158"/>
      <c r="AO166" s="158"/>
      <c r="AP166" s="158"/>
      <c r="AQ166" s="158"/>
      <c r="AR166" s="158"/>
      <c r="AS166" s="158"/>
    </row>
    <row r="167" spans="2:47" ht="11.45" customHeight="1">
      <c r="B167" s="303" t="str">
        <f>Texte!A304</f>
        <v>[+] Perdite e margine d'errore</v>
      </c>
      <c r="C167" s="304"/>
      <c r="D167" s="304"/>
      <c r="E167" s="305"/>
      <c r="F167" s="632">
        <f>SUM($L$156:$L$157)</f>
        <v>0</v>
      </c>
      <c r="G167" s="382"/>
      <c r="H167" s="632"/>
      <c r="I167" s="382"/>
      <c r="J167" s="632"/>
      <c r="K167" s="382"/>
      <c r="L167" s="632"/>
      <c r="M167" s="382"/>
      <c r="O167" s="632" t="str">
        <f>IF(SUM(L48:L53)=0,"",SUM(L48:L53)/L83*F167)</f>
        <v/>
      </c>
      <c r="P167" s="382"/>
      <c r="Q167" s="382"/>
      <c r="R167" s="382"/>
      <c r="V167" s="381"/>
      <c r="W167" s="261"/>
      <c r="X167" s="181"/>
      <c r="Y167" s="362"/>
      <c r="Z167" s="362"/>
      <c r="AA167" s="182" t="str">
        <f>Texte!A237</f>
        <v>Zona di montagna 4</v>
      </c>
      <c r="AB167" s="363">
        <v>0.4</v>
      </c>
      <c r="AD167" s="449">
        <f t="shared" si="12"/>
        <v>0</v>
      </c>
      <c r="AE167" s="362"/>
      <c r="AF167" s="362"/>
      <c r="AG167" s="487"/>
      <c r="AH167" s="488"/>
      <c r="AI167" s="418" t="str">
        <f>IF($U$11=1,Texte!A361,IF($U$11="",Texte!A364,Texte!A362))</f>
        <v>La regione non è stata inserita</v>
      </c>
      <c r="AJ167" s="418"/>
      <c r="AK167" s="158"/>
      <c r="AL167" s="158"/>
      <c r="AM167" s="158"/>
      <c r="AN167" s="158"/>
      <c r="AO167" s="158"/>
      <c r="AP167" s="158"/>
      <c r="AQ167" s="158"/>
      <c r="AR167" s="158"/>
      <c r="AS167" s="158"/>
    </row>
    <row r="168" spans="2:47" ht="11.45" customHeight="1">
      <c r="B168" s="303" t="str">
        <f>Texte!A305</f>
        <v>[+] Consumo durante l'estivazione</v>
      </c>
      <c r="C168" s="304"/>
      <c r="D168" s="304"/>
      <c r="E168" s="305"/>
      <c r="F168" s="632">
        <f>L89+N90</f>
        <v>0</v>
      </c>
      <c r="G168" s="382"/>
      <c r="H168" s="632"/>
      <c r="I168" s="382"/>
      <c r="J168" s="632"/>
      <c r="K168" s="382"/>
      <c r="L168" s="632"/>
      <c r="M168" s="382"/>
      <c r="O168" s="632">
        <f>SUM(Q48:Q53)</f>
        <v>0</v>
      </c>
      <c r="P168" s="382"/>
      <c r="Q168" s="382"/>
      <c r="R168" s="382"/>
      <c r="V168" s="381"/>
      <c r="W168" s="261"/>
      <c r="X168" s="181"/>
      <c r="Y168" s="362"/>
      <c r="Z168" s="362"/>
      <c r="AA168" s="182"/>
      <c r="AB168" s="363"/>
      <c r="AD168" s="451"/>
      <c r="AE168" s="362"/>
      <c r="AF168" s="362"/>
      <c r="AG168" s="217"/>
      <c r="AH168" s="155"/>
      <c r="AI168" s="555"/>
      <c r="AJ168" s="233"/>
      <c r="AK168" s="158"/>
      <c r="AL168" s="158"/>
      <c r="AM168" s="158"/>
      <c r="AN168" s="158"/>
      <c r="AO168" s="158"/>
      <c r="AP168" s="158"/>
      <c r="AQ168" s="158"/>
      <c r="AR168" s="158"/>
      <c r="AS168" s="158"/>
    </row>
    <row r="169" spans="2:47" ht="11.45" customHeight="1">
      <c r="B169" s="303" t="str">
        <f>Texte!A306</f>
        <v>Produzione</v>
      </c>
      <c r="C169" s="304"/>
      <c r="D169" s="304"/>
      <c r="E169" s="305"/>
      <c r="F169" s="632"/>
      <c r="G169" s="382"/>
      <c r="H169" s="632">
        <f>$L$117</f>
        <v>0</v>
      </c>
      <c r="I169" s="382"/>
      <c r="J169" s="632">
        <f>$L$118</f>
        <v>0</v>
      </c>
      <c r="K169" s="382"/>
      <c r="L169" s="632"/>
      <c r="M169" s="382"/>
      <c r="O169" s="382"/>
      <c r="P169" s="637">
        <f>P174-P171</f>
        <v>0</v>
      </c>
      <c r="Q169" s="637">
        <f>SUM(O97:O103)</f>
        <v>0</v>
      </c>
      <c r="R169" s="382"/>
      <c r="V169" s="383"/>
      <c r="W169" s="261"/>
      <c r="X169" s="181"/>
      <c r="Y169" s="362"/>
      <c r="Z169" s="362"/>
      <c r="AA169" s="182"/>
      <c r="AD169" s="451"/>
      <c r="AE169" s="362">
        <f>I17</f>
        <v>0</v>
      </c>
      <c r="AF169" s="362">
        <f>L17</f>
        <v>0</v>
      </c>
      <c r="AG169" s="217" t="str">
        <f>Texte!$A315</f>
        <v>Prati e</v>
      </c>
      <c r="AH169" s="155"/>
      <c r="AI169" s="485" t="str">
        <f>IF($U$11=1,$W$162,IF($U$11="","",$X$162))</f>
        <v/>
      </c>
      <c r="AJ169" s="486"/>
      <c r="AK169" s="158"/>
      <c r="AL169" s="158"/>
      <c r="AM169" s="158"/>
      <c r="AN169" s="158"/>
      <c r="AO169" s="158"/>
      <c r="AP169" s="158"/>
      <c r="AQ169" s="158"/>
      <c r="AR169" s="158"/>
      <c r="AS169" s="158"/>
    </row>
    <row r="170" spans="2:47" ht="12.95" customHeight="1">
      <c r="B170" s="303" t="str">
        <f>Texte!A307</f>
        <v>Ritiri</v>
      </c>
      <c r="C170" s="304"/>
      <c r="D170" s="304"/>
      <c r="E170" s="305"/>
      <c r="F170" s="632"/>
      <c r="G170" s="382"/>
      <c r="H170" s="632">
        <f>$J$151</f>
        <v>0</v>
      </c>
      <c r="I170" s="382"/>
      <c r="J170" s="632">
        <f>SUM($J$152,$K$153)</f>
        <v>0</v>
      </c>
      <c r="K170" s="382"/>
      <c r="L170" s="632">
        <f>$N$85*0.88</f>
        <v>0</v>
      </c>
      <c r="M170" s="382"/>
      <c r="O170" s="382"/>
      <c r="P170" s="382"/>
      <c r="Q170" s="632">
        <f>SUM(O131:O147)</f>
        <v>0</v>
      </c>
      <c r="R170" s="637">
        <f>SUM(M48:M53)*0.88</f>
        <v>0</v>
      </c>
      <c r="V170" s="362" t="s">
        <v>395</v>
      </c>
      <c r="W170" s="261" t="s">
        <v>509</v>
      </c>
      <c r="X170" s="181" t="s">
        <v>510</v>
      </c>
      <c r="Y170" s="362"/>
      <c r="Z170" s="362"/>
      <c r="AA170" s="182"/>
      <c r="AB170" s="182"/>
      <c r="AD170" s="370"/>
      <c r="AE170" s="362"/>
      <c r="AF170" s="362"/>
      <c r="AG170" s="251" t="str">
        <f>Texte!$A316</f>
        <v>pascoli</v>
      </c>
      <c r="AH170" s="348"/>
      <c r="AI170" s="420"/>
      <c r="AJ170" s="421"/>
      <c r="AK170" s="158"/>
      <c r="AL170" s="158"/>
      <c r="AM170" s="158"/>
      <c r="AN170" s="158"/>
      <c r="AO170" s="158"/>
      <c r="AP170" s="158"/>
      <c r="AQ170" s="158"/>
      <c r="AR170" s="158"/>
      <c r="AS170" s="158"/>
    </row>
    <row r="171" spans="2:47" ht="12.95" customHeight="1">
      <c r="B171" s="303" t="str">
        <f>Texte!A308</f>
        <v>[+] Foraggi/concentrati durante l'estivazione</v>
      </c>
      <c r="C171" s="304"/>
      <c r="D171" s="304"/>
      <c r="E171" s="305"/>
      <c r="F171" s="632"/>
      <c r="G171" s="382"/>
      <c r="H171" s="632">
        <f>L89</f>
        <v>0</v>
      </c>
      <c r="I171" s="382"/>
      <c r="J171" s="632"/>
      <c r="K171" s="382"/>
      <c r="L171" s="632">
        <f>N90</f>
        <v>0</v>
      </c>
      <c r="M171" s="382"/>
      <c r="O171" s="382"/>
      <c r="P171" s="637">
        <f>SUM(Q48:Q53)</f>
        <v>0</v>
      </c>
      <c r="Q171" s="382"/>
      <c r="R171" s="382"/>
      <c r="V171" s="362"/>
      <c r="W171" s="261"/>
      <c r="X171" s="181"/>
      <c r="Y171" s="362"/>
      <c r="Z171" s="362"/>
      <c r="AA171" s="182"/>
      <c r="AB171" s="182"/>
      <c r="AD171" s="370"/>
      <c r="AE171" s="362"/>
      <c r="AF171" s="362"/>
      <c r="AG171" s="217"/>
      <c r="AH171" s="155"/>
      <c r="AI171" s="485"/>
      <c r="AJ171" s="486"/>
      <c r="AK171" s="158"/>
      <c r="AL171" s="158"/>
      <c r="AM171" s="158"/>
      <c r="AN171" s="158"/>
      <c r="AO171" s="158"/>
      <c r="AP171" s="158"/>
      <c r="AQ171" s="158"/>
      <c r="AR171" s="158"/>
      <c r="AS171" s="158"/>
    </row>
    <row r="172" spans="2:47" ht="12.95" customHeight="1">
      <c r="B172" s="303" t="str">
        <f>Texte!A309</f>
        <v>Cessioni</v>
      </c>
      <c r="C172" s="304"/>
      <c r="D172" s="304"/>
      <c r="E172" s="305"/>
      <c r="F172" s="637"/>
      <c r="G172" s="382"/>
      <c r="H172" s="637">
        <f>$I$149*-1</f>
        <v>0</v>
      </c>
      <c r="I172" s="382"/>
      <c r="J172" s="637">
        <f>$I$150*-1</f>
        <v>0</v>
      </c>
      <c r="K172" s="382"/>
      <c r="L172" s="637"/>
      <c r="M172" s="382"/>
      <c r="O172" s="382"/>
      <c r="P172" s="382"/>
      <c r="Q172" s="382"/>
      <c r="R172" s="382"/>
      <c r="V172" s="362" t="s">
        <v>1100</v>
      </c>
      <c r="W172" s="449" t="str">
        <f>IF(AND($U$11=1,$I$174&gt;=$W$162),"ok","nein")</f>
        <v>nein</v>
      </c>
      <c r="X172" s="449" t="str">
        <f>IF(AND($U$11=2,$I$174&gt;=$X$162),"ok","nein")</f>
        <v>nein</v>
      </c>
      <c r="Y172" s="362"/>
      <c r="Z172" s="362"/>
      <c r="AA172" s="182" t="s">
        <v>396</v>
      </c>
      <c r="AB172" s="451"/>
      <c r="AC172" s="183"/>
      <c r="AD172" s="449" t="str">
        <f>IF($J$114=0,"",SUM($AD$162:$AD$167)/$J$114)</f>
        <v/>
      </c>
      <c r="AE172" s="362"/>
      <c r="AF172" s="362"/>
      <c r="AG172" s="416" t="str">
        <f>Texte!$A319</f>
        <v>Concentrati</v>
      </c>
      <c r="AH172" s="417"/>
      <c r="AI172" s="474" t="str">
        <f>IF($U$11=1,$W$164,IF($U$11="","",$X$164))</f>
        <v/>
      </c>
      <c r="AJ172" s="422"/>
      <c r="AK172" s="158"/>
      <c r="AL172" s="158"/>
      <c r="AM172" s="158"/>
      <c r="AN172" s="158"/>
      <c r="AO172" s="158"/>
      <c r="AP172" s="158"/>
      <c r="AQ172" s="158"/>
      <c r="AR172" s="158"/>
      <c r="AS172" s="158"/>
    </row>
    <row r="173" spans="2:47" ht="12.95" customHeight="1" thickBot="1">
      <c r="B173" s="453" t="str">
        <f>Texte!A310</f>
        <v>[-] Foraggio di base altri animali</v>
      </c>
      <c r="C173" s="454"/>
      <c r="D173" s="454"/>
      <c r="E173" s="455"/>
      <c r="F173" s="651"/>
      <c r="G173" s="384"/>
      <c r="H173" s="636">
        <f>$M$79*-1</f>
        <v>0</v>
      </c>
      <c r="I173" s="384"/>
      <c r="J173" s="636">
        <f>$L$79*-1-($M$79*-1)</f>
        <v>0</v>
      </c>
      <c r="K173" s="382"/>
      <c r="L173" s="646"/>
      <c r="M173" s="384"/>
      <c r="O173" s="382"/>
      <c r="P173" s="382"/>
      <c r="Q173" s="382"/>
      <c r="R173" s="382"/>
      <c r="V173" s="362" t="s">
        <v>394</v>
      </c>
      <c r="W173" s="449" t="str">
        <f>IF(AND($U$11=1,$I$174+$K$174&gt;=$W$165,$I$174&gt;=$W$162),"ok","nein")</f>
        <v>nein</v>
      </c>
      <c r="X173" s="449" t="str">
        <f>IF(AND($U$11=2,$I$174+$K$174&gt;=$X$165,$I$174&gt;=$X$162),"ok","nein")</f>
        <v>nein</v>
      </c>
      <c r="Y173" s="362"/>
      <c r="Z173" s="362"/>
      <c r="AA173" s="182"/>
      <c r="AB173" s="182"/>
      <c r="AC173" s="183"/>
      <c r="AD173" s="183"/>
      <c r="AE173" s="187"/>
      <c r="AF173" s="152"/>
      <c r="AG173" s="416" t="str">
        <f>Texte!$A365</f>
        <v>altri foraggi di base</v>
      </c>
      <c r="AH173" s="483"/>
      <c r="AI173" s="474" t="str">
        <f>IF($U$11=1,$W$165,IF($U$11="","",$X$165))</f>
        <v/>
      </c>
      <c r="AJ173" s="422"/>
      <c r="AK173" s="158"/>
      <c r="AL173" s="158"/>
      <c r="AM173" s="158"/>
      <c r="AN173" s="158"/>
      <c r="AO173" s="158"/>
      <c r="AP173" s="158"/>
      <c r="AQ173" s="158"/>
      <c r="AR173" s="158"/>
      <c r="AS173" s="158"/>
    </row>
    <row r="174" spans="2:47" ht="12.95" customHeight="1" thickBot="1">
      <c r="B174" s="385" t="str">
        <f>Texte!A311</f>
        <v>Bilancio</v>
      </c>
      <c r="C174" s="386"/>
      <c r="D174" s="386"/>
      <c r="E174" s="387"/>
      <c r="F174" s="457">
        <f>SUM($F$166:$F$173)</f>
        <v>0</v>
      </c>
      <c r="G174" s="458">
        <v>100</v>
      </c>
      <c r="H174" s="459">
        <f>SUM($H$169:$H$173)</f>
        <v>0</v>
      </c>
      <c r="I174" s="388" t="str">
        <f>IF($F$174=0,"",ROUND($H$174/$F$174*100,1))</f>
        <v/>
      </c>
      <c r="J174" s="460">
        <f>SUM($J$169:$J$173)</f>
        <v>0</v>
      </c>
      <c r="K174" s="388" t="str">
        <f>IF(OR($J$174&lt;0,$F$174=0),"",ROUND($J$174/$F$174*100,1))</f>
        <v/>
      </c>
      <c r="L174" s="459">
        <f>SUM($L$169:$L$173)</f>
        <v>0</v>
      </c>
      <c r="M174" s="389" t="str">
        <f>IF($F$174=0,"",ROUND($L$174/$F$174*100,1))</f>
        <v/>
      </c>
      <c r="O174" s="601">
        <f>SUM(O166:O173)</f>
        <v>0</v>
      </c>
      <c r="P174" s="457">
        <f>O174-Q174-R174</f>
        <v>0</v>
      </c>
      <c r="Q174" s="457">
        <f>SUM(Q166:Q173)</f>
        <v>0</v>
      </c>
      <c r="R174" s="602">
        <f>SUM(R166:R173)</f>
        <v>0</v>
      </c>
      <c r="V174" s="362" t="s">
        <v>512</v>
      </c>
      <c r="W174" s="449" t="str">
        <f>IF(AND($U$11=1,$M$174&lt;=$W$164),"ok","nein")</f>
        <v>nein</v>
      </c>
      <c r="X174" s="449" t="str">
        <f>IF(AND($U$11=2,$M$174&lt;=$X$164),"ok","nein")</f>
        <v>nein</v>
      </c>
      <c r="Y174" s="362"/>
      <c r="Z174" s="362"/>
      <c r="AA174" s="182"/>
      <c r="AB174" s="390"/>
      <c r="AC174" s="683"/>
      <c r="AD174" s="684"/>
      <c r="AE174" s="684"/>
      <c r="AF174" s="684"/>
      <c r="AG174" s="227" t="str">
        <f>Texte!$A318</f>
        <v>total</v>
      </c>
      <c r="AH174" s="228"/>
      <c r="AI174" s="489"/>
      <c r="AJ174" s="484"/>
      <c r="AK174" s="158"/>
      <c r="AL174" s="158"/>
      <c r="AM174" s="158"/>
      <c r="AN174" s="158"/>
      <c r="AO174" s="158"/>
      <c r="AP174" s="158"/>
      <c r="AQ174" s="158"/>
      <c r="AR174" s="158"/>
      <c r="AS174" s="158"/>
    </row>
    <row r="175" spans="2:47" ht="12.95" customHeight="1" thickBot="1">
      <c r="B175" s="393" t="str">
        <f>Texte!A312</f>
        <v>Percentuali richieste nella razione</v>
      </c>
      <c r="C175" s="394"/>
      <c r="D175" s="394"/>
      <c r="E175" s="395"/>
      <c r="F175" s="192"/>
      <c r="G175" s="396"/>
      <c r="H175" s="189" t="s">
        <v>1240</v>
      </c>
      <c r="I175" s="456" t="str">
        <f>IF($U$11=1,$W$162,IF($U$11=2,$X$162,""))</f>
        <v/>
      </c>
      <c r="J175" s="192"/>
      <c r="K175" s="155"/>
      <c r="L175" s="315" t="s">
        <v>1241</v>
      </c>
      <c r="M175" s="456">
        <f>$W$164</f>
        <v>10</v>
      </c>
      <c r="O175" s="388">
        <v>100</v>
      </c>
      <c r="P175" s="388" t="str">
        <f>IF($O$174=0,"",ROUND($P$174/$O$174*100,1))</f>
        <v/>
      </c>
      <c r="Q175" s="388" t="str">
        <f>IF(OR($Q$174&lt;0,$O$174=0),"",ROUND($Q$174/$O$174*100,1))</f>
        <v/>
      </c>
      <c r="R175" s="388" t="str">
        <f>IF($O$174=0,"",ROUND($R$174/$O$174*100,1))</f>
        <v/>
      </c>
      <c r="V175" s="362" t="s">
        <v>1099</v>
      </c>
      <c r="W175" s="449" t="str">
        <f>IF(AND($W$172="ok",$W$173="ok",$W$174="ok"),"io","n. io")</f>
        <v>n. io</v>
      </c>
      <c r="X175" s="449" t="str">
        <f>IF(AND($X$172="ok",$X$173="ok",$X$174="ok"),"io","n. io")</f>
        <v>n. io</v>
      </c>
      <c r="Y175" s="362"/>
      <c r="Z175" s="362"/>
      <c r="AA175" s="182"/>
      <c r="AB175" s="390"/>
      <c r="AC175" s="391"/>
      <c r="AD175" s="392"/>
      <c r="AE175" s="392"/>
      <c r="AF175" s="392"/>
      <c r="AG175" s="365"/>
      <c r="AH175" s="365"/>
      <c r="AI175" s="419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</row>
    <row r="176" spans="2:47" ht="12.75" customHeight="1" thickBot="1">
      <c r="B176" s="397"/>
      <c r="C176" s="192"/>
      <c r="D176" s="192"/>
      <c r="E176" s="192"/>
      <c r="F176" s="546" t="str">
        <f>IF(OR(H174&lt;0,J174&lt;0,L174&lt;0),Texte!A322,"")</f>
        <v/>
      </c>
      <c r="G176" s="450"/>
      <c r="H176" s="192"/>
      <c r="I176" s="398"/>
      <c r="J176" s="175"/>
      <c r="L176" s="288"/>
      <c r="M176" s="413" t="str">
        <f>IF($U$11="",Texte!A364,"")</f>
        <v>La regione non è stata inserita</v>
      </c>
      <c r="Y176" s="362"/>
      <c r="Z176" s="362"/>
      <c r="AA176" s="182"/>
      <c r="AB176" s="390"/>
      <c r="AC176" s="391"/>
      <c r="AD176" s="392"/>
      <c r="AE176" s="392"/>
      <c r="AF176" s="392"/>
      <c r="AG176" s="155"/>
      <c r="AH176" s="365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</row>
    <row r="177" spans="1:47" ht="7.5" customHeight="1">
      <c r="A177" s="400"/>
      <c r="B177" s="401"/>
      <c r="C177" s="402"/>
      <c r="D177" s="402"/>
      <c r="E177" s="402"/>
      <c r="F177" s="404"/>
      <c r="G177" s="402"/>
      <c r="H177" s="404"/>
      <c r="I177" s="403"/>
      <c r="J177" s="404"/>
      <c r="K177" s="403"/>
      <c r="L177" s="403"/>
      <c r="M177" s="406"/>
      <c r="N177" s="316"/>
      <c r="O177" s="401"/>
      <c r="P177" s="403"/>
      <c r="Q177" s="403"/>
      <c r="R177" s="406"/>
      <c r="V177" s="362"/>
      <c r="W177" s="261"/>
      <c r="X177" s="181"/>
      <c r="Y177" s="362"/>
      <c r="Z177" s="362"/>
      <c r="AA177" s="182"/>
      <c r="AB177" s="390"/>
      <c r="AC177" s="391"/>
      <c r="AD177" s="392"/>
      <c r="AE177" s="392"/>
      <c r="AF177" s="392"/>
      <c r="AG177" s="365"/>
      <c r="AH177" s="365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</row>
    <row r="178" spans="1:47" ht="12.95" customHeight="1">
      <c r="A178" s="400"/>
      <c r="B178" s="461" t="str">
        <f>Texte!A323</f>
        <v>I requisiti relativi alle percentuali nella razione sono soddisfatti?</v>
      </c>
      <c r="C178" s="396"/>
      <c r="D178" s="396"/>
      <c r="E178" s="155"/>
      <c r="F178" s="155"/>
      <c r="G178" s="396"/>
      <c r="H178" s="192"/>
      <c r="I178" s="137"/>
      <c r="J178" s="137"/>
      <c r="K178" s="137"/>
      <c r="L178" s="192"/>
      <c r="M178" s="462" t="str">
        <f>IF($U$11=1,IF($W$175="n. io",Texte!$A$326,Texte!$A$325),IF($X$175="n. io",Texte!$A$326,Texte!$A$325))</f>
        <v>no</v>
      </c>
      <c r="O178" s="461" t="str">
        <f>Texte!A340</f>
        <v>V. madri&amp;vitelli, requisiti soddisfatti</v>
      </c>
      <c r="P178" s="137"/>
      <c r="Q178" s="137"/>
      <c r="R178" s="462" t="str">
        <f>IF(W192="nein",Texte!$A$344,IF($U$11=1,IF($W$190="n. io",Texte!$A$326,Texte!$A$325),IF($X$190="n. io",Texte!$A$326,Texte!$A$325)))</f>
        <v>no</v>
      </c>
      <c r="V178" s="261"/>
      <c r="W178" s="451"/>
      <c r="X178" s="181"/>
      <c r="Y178" s="362"/>
      <c r="Z178" s="362"/>
      <c r="AA178" s="182"/>
      <c r="AB178" s="390"/>
      <c r="AC178" s="391"/>
      <c r="AD178" s="392"/>
      <c r="AE178" s="392"/>
      <c r="AF178" s="392"/>
      <c r="AG178" s="365"/>
      <c r="AH178" s="365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</row>
    <row r="179" spans="1:47" ht="7.5" customHeight="1" thickBot="1">
      <c r="A179" s="400"/>
      <c r="B179" s="463"/>
      <c r="C179" s="464"/>
      <c r="D179" s="464"/>
      <c r="E179" s="162"/>
      <c r="F179" s="162"/>
      <c r="G179" s="464"/>
      <c r="H179" s="465"/>
      <c r="I179" s="466"/>
      <c r="J179" s="466"/>
      <c r="K179" s="466"/>
      <c r="L179" s="465"/>
      <c r="M179" s="407"/>
      <c r="O179" s="463"/>
      <c r="P179" s="466"/>
      <c r="Q179" s="466"/>
      <c r="R179" s="407"/>
      <c r="V179" s="261"/>
      <c r="W179" s="451"/>
      <c r="X179" s="181"/>
      <c r="Y179" s="362"/>
      <c r="Z179" s="362"/>
      <c r="AA179" s="182"/>
      <c r="AB179" s="390"/>
      <c r="AC179" s="391"/>
      <c r="AD179" s="392"/>
      <c r="AE179" s="392"/>
      <c r="AF179" s="392"/>
      <c r="AG179" s="365"/>
      <c r="AH179" s="365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</row>
    <row r="180" spans="1:47" ht="12.95" customHeight="1">
      <c r="A180" s="400"/>
      <c r="B180" s="402"/>
      <c r="C180" s="402"/>
      <c r="D180" s="402"/>
      <c r="E180" s="403"/>
      <c r="F180" s="403"/>
      <c r="G180" s="402"/>
      <c r="H180" s="404"/>
      <c r="I180" s="405"/>
      <c r="J180" s="405"/>
      <c r="K180" s="405"/>
      <c r="L180" s="404"/>
      <c r="M180" s="467"/>
      <c r="V180" s="261"/>
      <c r="W180" s="452"/>
      <c r="X180" s="181"/>
      <c r="Y180" s="362"/>
      <c r="Z180" s="362"/>
      <c r="AA180" s="182"/>
      <c r="AB180" s="390"/>
      <c r="AC180" s="391"/>
      <c r="AD180" s="392"/>
      <c r="AE180" s="392"/>
      <c r="AF180" s="392"/>
      <c r="AG180" s="365"/>
      <c r="AH180" s="365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</row>
    <row r="181" spans="1:47" ht="15.75" customHeight="1">
      <c r="A181" s="400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O181" s="177" t="str">
        <f>Texte!A343</f>
        <v>bilancio animali che consumano foraggio grezzo</v>
      </c>
      <c r="V181" s="181" t="s">
        <v>397</v>
      </c>
      <c r="W181" s="449">
        <f>IF(M178=Texte!A325,1,2)</f>
        <v>2</v>
      </c>
      <c r="X181" s="181" t="s">
        <v>1102</v>
      </c>
      <c r="Y181" s="362"/>
      <c r="Z181" s="362"/>
      <c r="AA181" s="182"/>
      <c r="AB181" s="363"/>
      <c r="AC181" s="183"/>
      <c r="AD181" s="183"/>
      <c r="AE181" s="187"/>
      <c r="AF181" s="152"/>
      <c r="AG181" s="365"/>
      <c r="AH181" s="365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</row>
    <row r="182" spans="1:47" ht="5.25" customHeight="1" thickBot="1">
      <c r="A182" s="195"/>
      <c r="V182" s="181"/>
      <c r="W182" s="449">
        <f>IF(M209=Texte!A325,1,2)</f>
        <v>2</v>
      </c>
      <c r="X182" s="181" t="s">
        <v>1103</v>
      </c>
      <c r="Y182" s="362"/>
      <c r="Z182" s="362"/>
      <c r="AA182" s="182"/>
      <c r="AB182" s="363"/>
      <c r="AC182" s="183"/>
      <c r="AD182" s="183"/>
      <c r="AE182" s="187"/>
      <c r="AF182" s="152"/>
      <c r="AG182" s="365"/>
      <c r="AH182" s="365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</row>
    <row r="183" spans="1:47" ht="12.95" customHeight="1" thickBot="1">
      <c r="B183" s="408" t="str">
        <f>Texte!A329</f>
        <v>Luogo e data:</v>
      </c>
      <c r="C183" s="60"/>
      <c r="D183" s="61"/>
      <c r="E183" s="61"/>
      <c r="F183" s="61"/>
      <c r="G183" s="61"/>
      <c r="I183" s="319" t="str">
        <f>Texte!A330</f>
        <v>Firma:</v>
      </c>
      <c r="J183" s="60"/>
      <c r="K183" s="61"/>
      <c r="L183" s="61"/>
      <c r="M183" s="61"/>
      <c r="O183" s="388" t="str">
        <f>IF(O166&lt;&gt;F166,(F174-O174)/(F174-O174)*100,"0")</f>
        <v>0</v>
      </c>
      <c r="P183" s="388" t="str">
        <f>IF(O166&lt;&gt;F166,(H174-P174)/(F174-O174)*100,"0")</f>
        <v>0</v>
      </c>
      <c r="Q183" s="388" t="str">
        <f>IF(O166&lt;&gt;F166,(J174-Q174)/(F174-O174)*100,"0")</f>
        <v>0</v>
      </c>
      <c r="R183" s="388" t="str">
        <f>IF(O166&lt;&gt;F166,(L174-R174)/(F174-O174)*100,"0")</f>
        <v>0</v>
      </c>
      <c r="V183" s="181"/>
      <c r="W183" s="449">
        <f>IF(R178=Texte!A325,1,2)</f>
        <v>2</v>
      </c>
      <c r="X183" s="181" t="s">
        <v>755</v>
      </c>
      <c r="Y183" s="181"/>
      <c r="Z183" s="181"/>
      <c r="AA183" s="181"/>
      <c r="AB183" s="390"/>
      <c r="AI183" s="365"/>
      <c r="AJ183" s="365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</row>
    <row r="184" spans="1:47" ht="12.95" customHeight="1">
      <c r="O184" s="152" t="str">
        <f>IF(O166&lt;&gt;F166,(F174-O174),"0")</f>
        <v>0</v>
      </c>
      <c r="P184" s="152" t="str">
        <f>IF(O166&lt;&gt;F166,(H174-P174),"0")</f>
        <v>0</v>
      </c>
      <c r="Q184" s="152" t="str">
        <f>IF(O166&lt;&gt;F166,(J174-Q174),"0")</f>
        <v>0</v>
      </c>
      <c r="R184" s="152" t="str">
        <f>IF(O166&lt;&gt;F166,(L174-R174),"0")</f>
        <v>0</v>
      </c>
      <c r="AA184" s="149"/>
      <c r="AB184" s="409"/>
      <c r="AI184" s="365"/>
      <c r="AJ184" s="365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</row>
    <row r="185" spans="1:47" ht="11.45" customHeight="1">
      <c r="B185" s="410" t="str">
        <f>Texte!A328</f>
        <v>Questo strumento serve a provare che i requisiti del bilancio foraggero sono soddisfatti per il programma PLCSI</v>
      </c>
      <c r="O185" s="152">
        <f>O184+O174</f>
        <v>0</v>
      </c>
      <c r="P185" s="152">
        <f>P184+P174</f>
        <v>0</v>
      </c>
      <c r="Q185" s="152">
        <f>Q184+Q174</f>
        <v>0</v>
      </c>
      <c r="R185" s="152">
        <f>R184+R174</f>
        <v>0</v>
      </c>
      <c r="V185" s="362" t="s">
        <v>713</v>
      </c>
      <c r="W185" s="261" t="s">
        <v>509</v>
      </c>
      <c r="X185" s="181" t="s">
        <v>510</v>
      </c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</row>
    <row r="186" spans="1:47" ht="11.45" customHeight="1">
      <c r="V186" s="362"/>
      <c r="W186" s="261"/>
      <c r="X186" s="181"/>
      <c r="AA186" s="149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</row>
    <row r="187" spans="1:47">
      <c r="B187" s="427"/>
      <c r="V187" s="362" t="s">
        <v>1100</v>
      </c>
      <c r="W187" s="449" t="str">
        <f>IF(AND($U$11=1,P175&gt;=$W$162),"ok","nein")</f>
        <v>nein</v>
      </c>
      <c r="X187" s="449" t="str">
        <f>IF(AND($U$11=2,$P$175&gt;=$X$162),"ok","nein")</f>
        <v>nein</v>
      </c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</row>
    <row r="188" spans="1:47">
      <c r="V188" s="362" t="s">
        <v>394</v>
      </c>
      <c r="W188" s="449" t="str">
        <f>IF(AND($U$11=1,$P$175+$Q$175&gt;=$W$165,$P$175&gt;=$W$162),"ok","nein")</f>
        <v>nein</v>
      </c>
      <c r="X188" s="449" t="str">
        <f>IF(AND($U$11=2,$P$175+$Q$175&gt;=$X$165,$P$175&gt;=$X$162),"ok","nein")</f>
        <v>nein</v>
      </c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</row>
    <row r="189" spans="1:47" ht="15.75">
      <c r="B189" s="508" t="str">
        <f>Texte!A368</f>
        <v>Informazioni complementari</v>
      </c>
      <c r="V189" s="362" t="s">
        <v>512</v>
      </c>
      <c r="W189" s="449" t="str">
        <f>IF(AND($U$11=1,$R$175&lt;=$W$164),"ok","nein")</f>
        <v>nein</v>
      </c>
      <c r="X189" s="449" t="str">
        <f>IF(AND($U$11=2,$R$175&lt;=$X$164),"ok","nein")</f>
        <v>nein</v>
      </c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</row>
    <row r="190" spans="1:47" ht="7.5" customHeight="1">
      <c r="B190" s="508"/>
      <c r="V190" s="362" t="s">
        <v>1099</v>
      </c>
      <c r="W190" s="449" t="str">
        <f>IF(AND($W$187="ok",$W$188="ok",$W$189="ok"),"io","n. io")</f>
        <v>n. io</v>
      </c>
      <c r="X190" s="449" t="str">
        <f>IF(AND($X$187="ok",$X$188="ok",$X$189="ok"),"io","n. io")</f>
        <v>n. io</v>
      </c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</row>
    <row r="191" spans="1:47" ht="12.75" customHeight="1">
      <c r="B191" s="509" t="str">
        <f>Texte!A369</f>
        <v xml:space="preserve">Il calcolo del carico effettivo di bestiame per il bilancio foraggero 2018 si basa sugli effettivi </v>
      </c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</row>
    <row r="192" spans="1:47" ht="12.75" customHeight="1">
      <c r="B192" s="509" t="str">
        <f>Texte!A370</f>
        <v>animali per il periodo 1.1.2018 – 31.12.2018. Siccome questi ultimi non sono ancora noti, l'importo</v>
      </c>
      <c r="V192" s="181" t="s">
        <v>123</v>
      </c>
      <c r="W192" s="181" t="str">
        <f>IF(AND(V104=0,V148=0),"ja","nein")</f>
        <v>ja</v>
      </c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</row>
    <row r="193" spans="2:47" ht="12.75" customHeight="1">
      <c r="B193" s="509" t="str">
        <f>Texte!A371</f>
        <v xml:space="preserve">dei contributi PLCSI deve essere considerato come una stima.  </v>
      </c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</row>
    <row r="194" spans="2:47" ht="12.75" customHeight="1">
      <c r="B194" s="50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</row>
    <row r="195" spans="2:47" ht="12.75" customHeight="1">
      <c r="B195" s="571" t="str">
        <f>Texte!A227</f>
        <v>Dati per la densità minima di animali</v>
      </c>
      <c r="C195" s="30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</row>
    <row r="196" spans="2:47" ht="12.75" customHeight="1">
      <c r="B196" s="571"/>
      <c r="C196" s="573" t="str">
        <f>Texte!A229</f>
        <v>Prati permanenti</v>
      </c>
      <c r="D196" s="510"/>
      <c r="E196" s="510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</row>
    <row r="197" spans="2:47" ht="12.75" customHeight="1">
      <c r="B197" s="571"/>
      <c r="C197" s="573" t="str">
        <f>Texte!A230</f>
        <v>Prati artificiali</v>
      </c>
      <c r="E197" s="574" t="str">
        <f>Texte!A231</f>
        <v>SPB</v>
      </c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</row>
    <row r="198" spans="2:47" ht="12.75" customHeight="1">
      <c r="B198" s="508"/>
      <c r="C198" s="575" t="s">
        <v>183</v>
      </c>
      <c r="E198" s="574" t="s">
        <v>183</v>
      </c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</row>
    <row r="199" spans="2:47" ht="12.75" customHeight="1">
      <c r="B199" s="572" t="str">
        <f>Texte!A232</f>
        <v>Zona di pianura</v>
      </c>
      <c r="C199" s="566"/>
      <c r="D199" s="576"/>
      <c r="E199" s="569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</row>
    <row r="200" spans="2:47" ht="12.75" customHeight="1">
      <c r="B200" s="572" t="str">
        <f>Texte!A233</f>
        <v>Zona collinare</v>
      </c>
      <c r="C200" s="567"/>
      <c r="D200" s="576"/>
      <c r="E200" s="76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</row>
    <row r="201" spans="2:47" ht="12.75" customHeight="1">
      <c r="B201" s="572" t="str">
        <f>Texte!A234</f>
        <v>Zona di montagna 1</v>
      </c>
      <c r="C201" s="567"/>
      <c r="D201" s="576"/>
      <c r="E201" s="76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</row>
    <row r="202" spans="2:47" ht="12.75" customHeight="1">
      <c r="B202" s="572" t="str">
        <f>Texte!A235</f>
        <v>Zona di montagna 2</v>
      </c>
      <c r="C202" s="567"/>
      <c r="D202" s="576"/>
      <c r="E202" s="76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</row>
    <row r="203" spans="2:47" ht="12.75" customHeight="1">
      <c r="B203" s="572" t="str">
        <f>Texte!A236</f>
        <v>Zona di montagna 3</v>
      </c>
      <c r="C203" s="567"/>
      <c r="D203" s="576"/>
      <c r="E203" s="76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</row>
    <row r="204" spans="2:47" ht="12.75" customHeight="1">
      <c r="B204" s="572" t="str">
        <f>Texte!A237</f>
        <v>Zona di montagna 4</v>
      </c>
      <c r="C204" s="567"/>
      <c r="D204" s="576"/>
      <c r="E204" s="76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</row>
    <row r="205" spans="2:47">
      <c r="B205" s="572" t="str">
        <f>Texte!A238</f>
        <v xml:space="preserve">Superfici all’estero </v>
      </c>
      <c r="C205" s="568"/>
      <c r="D205" s="577"/>
      <c r="E205" s="570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</row>
    <row r="206" spans="2:47">
      <c r="B206" s="512" t="s">
        <v>592</v>
      </c>
      <c r="C206" s="478">
        <f>SUM(C199:E205)</f>
        <v>0</v>
      </c>
      <c r="D206" s="578"/>
      <c r="E206" s="479"/>
      <c r="L206" s="400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</row>
    <row r="207" spans="2:47" ht="7.5" customHeight="1">
      <c r="B207" s="509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</row>
    <row r="208" spans="2:47" ht="7.5" customHeight="1">
      <c r="B208" s="509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</row>
    <row r="209" spans="2:47">
      <c r="B209" s="509" t="str">
        <f>Texte!A324</f>
        <v>Carico minimo animale per ottenere 100 % dei contributo PLCSI (UBGFG/ha d'erba)</v>
      </c>
      <c r="M209" s="505" t="str">
        <f>$AD$172</f>
        <v/>
      </c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</row>
    <row r="210" spans="2:47">
      <c r="B210" s="511" t="str">
        <f>Texte!A372</f>
        <v>UBGFG totali dell'azienda</v>
      </c>
      <c r="D210" s="545"/>
      <c r="E210" s="501"/>
      <c r="L210" s="512" t="str">
        <f>Texte!A373</f>
        <v>Carico di bestiame effetivo (UBGFG/ha d'erba)</v>
      </c>
      <c r="M210" s="505" t="str">
        <f>IF($J$114="","",IF($E$210&lt;=0,"",$E$210/$J$114))</f>
        <v/>
      </c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</row>
    <row r="211" spans="2:47">
      <c r="B211" s="510"/>
      <c r="L211" s="513"/>
      <c r="M211" s="315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</row>
    <row r="212" spans="2:47">
      <c r="B212" s="511" t="str">
        <f>Texte!A374</f>
        <v>Requisiti della parte … nella razione</v>
      </c>
      <c r="L212" s="512" t="str">
        <f>Texte!A378</f>
        <v xml:space="preserve">Requisito del carico minimo per </v>
      </c>
      <c r="M212" s="504" t="str">
        <f>IF(AND($W$175="n. io",$X$175="n. io",$M$209=""),"",MIN($M$210/$M$209*100,100))</f>
        <v/>
      </c>
      <c r="N212" s="511" t="str">
        <f>Texte!A379</f>
        <v>% di contributi PLCSI</v>
      </c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</row>
    <row r="213" spans="2:47">
      <c r="B213" s="510" t="str">
        <f>Texte!A375</f>
        <v xml:space="preserve">  - foraggi dei prati e pascoli</v>
      </c>
      <c r="E213" s="498" t="str">
        <f>IF($U$11="","",IF(AND($U$11=1,$W$172="nein"),Texte!A$384,IF(AND($U$11=2,$X$172="nein"),Texte!A$384,Texte!A$385)))</f>
        <v/>
      </c>
      <c r="L213" s="512" t="str">
        <f>Texte!A380</f>
        <v>che corrisponde a</v>
      </c>
      <c r="M213" s="514" t="str">
        <f>IF(OR($W$175="io",$X$175="io"),$M$212/100*200*$J$114,"")</f>
        <v/>
      </c>
      <c r="N213" s="511" t="s">
        <v>1266</v>
      </c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</row>
    <row r="214" spans="2:47">
      <c r="B214" s="510" t="str">
        <f>Texte!A376</f>
        <v xml:space="preserve">  - altri foraggi</v>
      </c>
      <c r="E214" s="499" t="str">
        <f>IF($U$11="","",IF(AND($U$11=1,$W$173="nein"),Texte!A$384,IF(AND($U$11=2,$X$173="nein"),Texte!A$384,Texte!A$385)))</f>
        <v/>
      </c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</row>
    <row r="215" spans="2:47">
      <c r="B215" s="510" t="str">
        <f>Texte!A377</f>
        <v xml:space="preserve">  - concentrati</v>
      </c>
      <c r="E215" s="500" t="str">
        <f>IF($U$11="","",IF(AND($U$11=1,$W$174="nein"),Texte!A$384,IF(AND($U$11=2,$X$174="nein"),Texte!A$384,Texte!A$385)))</f>
        <v/>
      </c>
      <c r="L215" s="512" t="str">
        <f>IF(AND($W$175="n. io",$X$175="n. io"),Texte!A388,IF($E$210&lt;=0,Texte!A386,Texte!A381))</f>
        <v>Lei non ottiene NESSUN contributo</v>
      </c>
      <c r="M215" s="503" t="str">
        <f>IF(OR(AND($W$175="n. io",$X$175="n. io"),$E$210&lt;=0),"",IF(ROUND($M$212,0)=100,Texte!A383,Texte!A382))</f>
        <v/>
      </c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</row>
    <row r="216" spans="2:47">
      <c r="L216" s="506" t="str">
        <f>IF(AND(OR($W$175="io",$X$175="io"),$E$210&lt;=0),Texte!A387,"")</f>
        <v/>
      </c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</row>
    <row r="217" spans="2:47"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</row>
    <row r="218" spans="2:47"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</row>
    <row r="219" spans="2:47"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</row>
    <row r="220" spans="2:47"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</row>
    <row r="221" spans="2:47"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</row>
    <row r="222" spans="2:47"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</row>
    <row r="223" spans="2:47"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</row>
    <row r="224" spans="2:47"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</row>
    <row r="225" spans="1:47"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</row>
    <row r="226" spans="1:47"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</row>
    <row r="227" spans="1:47"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</row>
    <row r="228" spans="1:47"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</row>
    <row r="229" spans="1:47">
      <c r="AK229" s="158"/>
      <c r="AL229" s="158"/>
      <c r="AM229" s="158"/>
      <c r="AN229" s="158"/>
      <c r="AO229" s="158"/>
      <c r="AP229" s="158"/>
      <c r="AQ229" s="158"/>
      <c r="AR229" s="158"/>
      <c r="AS229" s="158"/>
      <c r="AT229" s="158"/>
      <c r="AU229" s="158"/>
    </row>
    <row r="230" spans="1:47"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  <c r="AU230" s="158"/>
    </row>
    <row r="231" spans="1:47"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  <c r="AU231" s="158"/>
    </row>
    <row r="232" spans="1:47">
      <c r="AK232" s="158"/>
      <c r="AL232" s="158"/>
      <c r="AM232" s="158"/>
      <c r="AN232" s="158"/>
      <c r="AO232" s="158"/>
      <c r="AP232" s="158"/>
      <c r="AQ232" s="158"/>
      <c r="AR232" s="158"/>
      <c r="AS232" s="158"/>
      <c r="AT232" s="158"/>
      <c r="AU232" s="158"/>
    </row>
    <row r="233" spans="1:47">
      <c r="B233" s="152"/>
      <c r="C233" s="152"/>
      <c r="D233" s="152"/>
      <c r="E233" s="152"/>
      <c r="F233" s="152"/>
      <c r="G233" s="152"/>
      <c r="H233" s="152"/>
      <c r="I233" s="152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</row>
    <row r="234" spans="1:47">
      <c r="B234" s="152"/>
      <c r="C234" s="152"/>
      <c r="D234" s="152"/>
      <c r="E234" s="152"/>
      <c r="F234" s="152"/>
      <c r="G234" s="152"/>
      <c r="H234" s="152"/>
      <c r="I234" s="152"/>
      <c r="AK234" s="158"/>
      <c r="AL234" s="158"/>
      <c r="AM234" s="158"/>
      <c r="AN234" s="158"/>
      <c r="AO234" s="158"/>
      <c r="AP234" s="158"/>
      <c r="AQ234" s="158"/>
      <c r="AR234" s="158"/>
      <c r="AS234" s="158"/>
      <c r="AT234" s="158"/>
      <c r="AU234" s="158"/>
    </row>
    <row r="235" spans="1:47">
      <c r="A235" s="152" t="s">
        <v>603</v>
      </c>
      <c r="B235" s="152"/>
      <c r="C235" s="152"/>
      <c r="D235" s="152"/>
      <c r="E235" s="152"/>
      <c r="F235" s="152"/>
      <c r="G235" s="152"/>
      <c r="H235" s="152"/>
      <c r="I235" s="152"/>
      <c r="AK235" s="158"/>
      <c r="AL235" s="158"/>
      <c r="AM235" s="158"/>
      <c r="AN235" s="158"/>
      <c r="AO235" s="158"/>
      <c r="AP235" s="158"/>
      <c r="AQ235" s="158"/>
      <c r="AR235" s="158"/>
      <c r="AS235" s="158"/>
      <c r="AT235" s="158"/>
      <c r="AU235" s="158"/>
    </row>
    <row r="236" spans="1:47">
      <c r="A236" s="152" t="s">
        <v>604</v>
      </c>
      <c r="B236" s="152"/>
      <c r="C236" s="152"/>
      <c r="D236" s="152"/>
      <c r="E236" s="152"/>
      <c r="F236" s="152"/>
      <c r="G236" s="152"/>
      <c r="H236" s="152"/>
      <c r="I236" s="152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  <c r="AU236" s="158"/>
    </row>
    <row r="237" spans="1:47">
      <c r="A237" s="152"/>
      <c r="B237" s="152"/>
      <c r="C237" s="152"/>
      <c r="D237" s="152"/>
      <c r="E237" s="152"/>
      <c r="F237" s="152"/>
      <c r="G237" s="152"/>
      <c r="H237" s="152"/>
      <c r="I237" s="152"/>
      <c r="AK237" s="158"/>
      <c r="AL237" s="158"/>
      <c r="AM237" s="158"/>
      <c r="AN237" s="158"/>
      <c r="AO237" s="158"/>
      <c r="AP237" s="158"/>
      <c r="AQ237" s="158"/>
      <c r="AR237" s="158"/>
      <c r="AS237" s="158"/>
      <c r="AT237" s="158"/>
      <c r="AU237" s="158"/>
    </row>
    <row r="238" spans="1:47">
      <c r="A238" s="152"/>
      <c r="AK238" s="158"/>
      <c r="AL238" s="158"/>
      <c r="AM238" s="158"/>
      <c r="AN238" s="158"/>
      <c r="AO238" s="158"/>
      <c r="AP238" s="158"/>
      <c r="AQ238" s="158"/>
      <c r="AR238" s="158"/>
      <c r="AS238" s="158"/>
      <c r="AT238" s="158"/>
      <c r="AU238" s="158"/>
    </row>
    <row r="239" spans="1:47">
      <c r="A239" s="152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8"/>
    </row>
    <row r="241" spans="1:9">
      <c r="A241" s="187"/>
    </row>
    <row r="242" spans="1:9">
      <c r="A242" s="187"/>
    </row>
    <row r="243" spans="1:9">
      <c r="A243" s="187"/>
    </row>
    <row r="244" spans="1:9">
      <c r="A244" s="187"/>
    </row>
    <row r="245" spans="1:9">
      <c r="A245" s="187"/>
    </row>
    <row r="246" spans="1:9">
      <c r="A246" s="187"/>
    </row>
    <row r="247" spans="1:9">
      <c r="A247" s="187"/>
    </row>
    <row r="248" spans="1:9">
      <c r="A248" s="187"/>
    </row>
    <row r="249" spans="1:9">
      <c r="A249" s="187"/>
    </row>
    <row r="250" spans="1:9">
      <c r="A250" s="187"/>
    </row>
    <row r="251" spans="1:9">
      <c r="A251" s="187"/>
    </row>
    <row r="252" spans="1:9">
      <c r="A252" s="187"/>
    </row>
    <row r="253" spans="1:9">
      <c r="A253" s="187"/>
    </row>
    <row r="254" spans="1:9">
      <c r="A254" s="187"/>
      <c r="B254" s="187"/>
      <c r="C254" s="187"/>
      <c r="D254" s="187"/>
    </row>
    <row r="255" spans="1:9">
      <c r="A255" s="187"/>
      <c r="B255" s="187"/>
      <c r="C255" s="187"/>
      <c r="D255" s="187"/>
    </row>
    <row r="256" spans="1:9">
      <c r="A256" s="187"/>
      <c r="B256" s="187"/>
      <c r="C256" s="187"/>
      <c r="D256" s="187"/>
      <c r="E256" s="152"/>
      <c r="F256" s="152"/>
      <c r="G256" s="152"/>
      <c r="H256" s="152"/>
      <c r="I256" s="152"/>
    </row>
    <row r="257" spans="1:9">
      <c r="A257" s="187"/>
      <c r="B257" s="187"/>
      <c r="C257" s="187"/>
      <c r="D257" s="187"/>
      <c r="E257" s="152"/>
      <c r="F257" s="130"/>
      <c r="G257" s="187"/>
      <c r="H257" s="152"/>
      <c r="I257" s="152"/>
    </row>
    <row r="258" spans="1:9" hidden="1">
      <c r="A258" s="411"/>
      <c r="F258" s="130"/>
      <c r="H258" s="152"/>
      <c r="I258" s="152"/>
    </row>
    <row r="259" spans="1:9" hidden="1">
      <c r="A259" s="412" t="str">
        <f>Texte!A124</f>
        <v>Vacche da latte</v>
      </c>
      <c r="B259" s="289"/>
      <c r="F259" s="130"/>
      <c r="H259" s="152"/>
      <c r="I259" s="152"/>
    </row>
    <row r="260" spans="1:9" hidden="1">
      <c r="A260" s="412" t="str">
        <f>Texte!A125</f>
        <v>Altre vacche</v>
      </c>
      <c r="B260" s="289"/>
      <c r="F260" s="130"/>
      <c r="H260" s="152"/>
      <c r="I260" s="152"/>
    </row>
    <row r="261" spans="1:9" hidden="1">
      <c r="A261" s="412" t="str">
        <f>Texte!A126</f>
        <v>Vacche madri pesanti (700-800 kg)</v>
      </c>
      <c r="B261" s="289"/>
      <c r="F261" s="130"/>
      <c r="H261" s="152"/>
      <c r="I261" s="152"/>
    </row>
    <row r="262" spans="1:9" hidden="1">
      <c r="A262" s="412" t="str">
        <f>Texte!A127</f>
        <v>Vacche madri mezze (600-700 kg)</v>
      </c>
      <c r="B262" s="289"/>
      <c r="F262" s="130"/>
      <c r="H262" s="152"/>
      <c r="I262" s="152"/>
    </row>
    <row r="263" spans="1:9" hidden="1">
      <c r="A263" s="412" t="str">
        <f>Texte!A128</f>
        <v>Vacche madri leggere (&lt;600 kg)</v>
      </c>
      <c r="B263" s="289"/>
      <c r="F263" s="130"/>
      <c r="H263" s="152"/>
      <c r="I263" s="152"/>
    </row>
    <row r="264" spans="1:9" hidden="1">
      <c r="A264" s="412" t="str">
        <f>Texte!A129</f>
        <v>Bestiame giovane, 0-1 anno</v>
      </c>
      <c r="B264" s="289"/>
      <c r="F264" s="130"/>
      <c r="H264" s="152"/>
      <c r="I264" s="152"/>
    </row>
    <row r="265" spans="1:9" hidden="1">
      <c r="A265" s="412" t="str">
        <f>Texte!A130</f>
        <v>Bestiame giovane, 1-2 anni</v>
      </c>
      <c r="B265" s="289"/>
      <c r="F265" s="130"/>
      <c r="H265" s="152"/>
      <c r="I265" s="152"/>
    </row>
    <row r="266" spans="1:9" hidden="1">
      <c r="A266" s="412" t="str">
        <f>Texte!A131</f>
        <v>Manzi &gt;2 anni</v>
      </c>
      <c r="B266" s="289"/>
      <c r="F266" s="130"/>
      <c r="H266" s="152"/>
      <c r="I266" s="152"/>
    </row>
    <row r="267" spans="1:9" hidden="1">
      <c r="A267" s="412" t="str">
        <f>Texte!A132</f>
        <v>Vitelli da ingrasso (50-200 kg)</v>
      </c>
      <c r="B267" s="289"/>
      <c r="F267" s="130"/>
      <c r="H267" s="152"/>
      <c r="I267" s="152"/>
    </row>
    <row r="268" spans="1:9" hidden="1">
      <c r="A268" s="412" t="str">
        <f>Texte!A133</f>
        <v>Vitelli di vacche madri leggeri, circa 350 kg</v>
      </c>
      <c r="B268" s="289"/>
      <c r="F268" s="130"/>
      <c r="H268" s="152"/>
      <c r="I268" s="152"/>
    </row>
    <row r="269" spans="1:9" hidden="1">
      <c r="A269" s="412" t="str">
        <f>Texte!A134</f>
        <v>Vitelli di vacche madri pesanti, circa 400 kg</v>
      </c>
      <c r="B269" s="289"/>
      <c r="F269" s="130"/>
      <c r="H269" s="152"/>
      <c r="I269" s="152"/>
    </row>
    <row r="270" spans="1:9" hidden="1">
      <c r="A270" s="412"/>
      <c r="B270" s="289"/>
      <c r="F270" s="130"/>
      <c r="H270" s="152"/>
      <c r="I270" s="152"/>
    </row>
    <row r="271" spans="1:9" hidden="1">
      <c r="A271" s="412"/>
      <c r="B271" s="289"/>
      <c r="F271" s="130"/>
      <c r="H271" s="152"/>
      <c r="I271" s="152"/>
    </row>
    <row r="272" spans="1:9" hidden="1">
      <c r="A272" s="412" t="str">
        <f>Texte!A135</f>
        <v>Bovini da ingrasso, intensivo, 65-520 kg</v>
      </c>
      <c r="B272" s="289"/>
      <c r="F272" s="130"/>
      <c r="H272" s="152"/>
      <c r="I272" s="152"/>
    </row>
    <row r="273" spans="1:9" hidden="1">
      <c r="A273" s="412" t="str">
        <f>Texte!A136</f>
        <v>Bovini da ingrasso, svezzamento &lt; 4 mesi</v>
      </c>
      <c r="B273" s="289"/>
      <c r="F273" s="130"/>
      <c r="H273" s="152"/>
      <c r="I273" s="152"/>
    </row>
    <row r="274" spans="1:9" hidden="1">
      <c r="A274" s="412" t="str">
        <f>Texte!A137</f>
        <v>Bovini da ingrasso, intensivo &gt; 4 mesi</v>
      </c>
      <c r="B274" s="289"/>
      <c r="F274" s="130"/>
      <c r="H274" s="152"/>
      <c r="I274" s="152"/>
    </row>
    <row r="275" spans="1:9" hidden="1">
      <c r="A275" s="412" t="str">
        <f>Texte!A138</f>
        <v>Bovini da ingrasso, pascolo &gt; 4 mesi</v>
      </c>
      <c r="B275" s="289"/>
      <c r="F275" s="130"/>
      <c r="H275" s="152"/>
      <c r="I275" s="152"/>
    </row>
    <row r="276" spans="1:9" hidden="1">
      <c r="A276" s="412" t="str">
        <f>Texte!A139</f>
        <v>Bovini da ingrasso, finissaggio intensivo</v>
      </c>
      <c r="B276" s="289"/>
      <c r="F276" s="130"/>
      <c r="I276" s="152"/>
    </row>
    <row r="277" spans="1:9" hidden="1">
      <c r="A277" s="412" t="str">
        <f>Texte!A140</f>
        <v>Tori da allevamento</v>
      </c>
      <c r="B277" s="289"/>
      <c r="F277" s="130"/>
      <c r="I277" s="152"/>
    </row>
    <row r="278" spans="1:9" hidden="1">
      <c r="A278" s="412"/>
      <c r="B278" s="289"/>
      <c r="F278" s="130"/>
      <c r="I278" s="152"/>
    </row>
    <row r="279" spans="1:9" hidden="1">
      <c r="A279" s="289"/>
      <c r="B279" s="289"/>
      <c r="F279" s="130"/>
      <c r="H279" s="152"/>
      <c r="I279" s="152"/>
    </row>
    <row r="280" spans="1:9" hidden="1">
      <c r="A280" s="412" t="str">
        <f>Texte!A143</f>
        <v>Cavallo &gt; 180 g, &gt; 148cm*</v>
      </c>
      <c r="B280" s="289"/>
      <c r="F280" s="130"/>
      <c r="H280" s="152"/>
      <c r="I280" s="152"/>
    </row>
    <row r="281" spans="1:9" hidden="1">
      <c r="A281" s="412" t="str">
        <f>Texte!A144</f>
        <v>Cavallo &lt; 180 g, &gt; 148cm*</v>
      </c>
      <c r="B281" s="289"/>
      <c r="F281" s="130"/>
      <c r="H281" s="152"/>
      <c r="I281" s="152"/>
    </row>
    <row r="282" spans="1:9" hidden="1">
      <c r="A282" s="412" t="str">
        <f>Texte!A145</f>
        <v>Muli o bardotti &lt; 180 g, indip altezza al garrese</v>
      </c>
      <c r="B282" s="289"/>
      <c r="F282" s="130"/>
      <c r="H282" s="152"/>
      <c r="I282" s="152"/>
    </row>
    <row r="283" spans="1:9" hidden="1">
      <c r="A283" s="412" t="str">
        <f>Texte!A146</f>
        <v>Muli o bardotti &gt; 180 g, indip altezza al garrese</v>
      </c>
      <c r="B283" s="289"/>
      <c r="F283" s="130"/>
      <c r="H283" s="152"/>
      <c r="I283" s="152"/>
    </row>
    <row r="284" spans="1:9" hidden="1">
      <c r="A284" s="412" t="str">
        <f>Texte!A147</f>
        <v>Pony**, piccoli cavalli e asini di agni età, &lt; 148 cm</v>
      </c>
      <c r="B284" s="289"/>
      <c r="F284" s="130"/>
      <c r="H284" s="152"/>
      <c r="I284" s="152"/>
    </row>
    <row r="285" spans="1:9" hidden="1">
      <c r="A285" s="412" t="str">
        <f>Texte!A148</f>
        <v>Capra (incl. bestiame giovane e parte del becco)</v>
      </c>
      <c r="B285" s="289"/>
      <c r="F285" s="130"/>
      <c r="H285" s="152"/>
      <c r="I285" s="152"/>
    </row>
    <row r="286" spans="1:9" hidden="1">
      <c r="A286" s="412" t="str">
        <f>Texte!A149</f>
        <v>Pecora (incl. bestiame giovane e parte dell’ariete)</v>
      </c>
      <c r="B286" s="289"/>
      <c r="F286" s="130"/>
      <c r="H286" s="152"/>
      <c r="I286" s="152"/>
    </row>
    <row r="287" spans="1:9" hidden="1">
      <c r="A287" s="412" t="str">
        <f>Texte!A150</f>
        <v>Pecore da latte (incl. bestiame giovane)</v>
      </c>
      <c r="B287" s="289"/>
      <c r="F287" s="130"/>
      <c r="H287" s="152"/>
      <c r="I287" s="152"/>
    </row>
    <row r="288" spans="1:9" hidden="1">
      <c r="A288" s="412" t="str">
        <f>Texte!A151</f>
        <v>Agnelli e capretti da ingrasso al pascolo</v>
      </c>
      <c r="B288" s="289"/>
      <c r="F288" s="130"/>
      <c r="H288" s="152"/>
      <c r="I288" s="152"/>
    </row>
    <row r="289" spans="1:9" hidden="1">
      <c r="A289" s="412" t="str">
        <f>Texte!A152</f>
        <v>Daini, incl. bestiame giovane, 1 unità=2 animali</v>
      </c>
      <c r="B289" s="289"/>
      <c r="F289" s="130"/>
      <c r="H289" s="152"/>
      <c r="I289" s="152"/>
    </row>
    <row r="290" spans="1:9" hidden="1">
      <c r="A290" s="412" t="str">
        <f>Texte!A153</f>
        <v>Cervi, incl. bestiame giovane, 1 unità=2 animali</v>
      </c>
      <c r="B290" s="289"/>
      <c r="F290" s="130"/>
      <c r="H290" s="152"/>
      <c r="I290" s="152"/>
    </row>
    <row r="291" spans="1:9" hidden="1">
      <c r="A291" s="412" t="str">
        <f>Texte!A154</f>
        <v>Wapiti, incl. bestiame giovane, 1 unità=2 animali</v>
      </c>
      <c r="B291" s="289"/>
      <c r="F291" s="130"/>
      <c r="H291" s="152"/>
      <c r="I291" s="152"/>
    </row>
    <row r="292" spans="1:9" hidden="1">
      <c r="A292" s="412" t="str">
        <f>Texte!A155</f>
        <v>Bisonti di oltre 900 giorni</v>
      </c>
      <c r="B292" s="289"/>
      <c r="F292" s="130"/>
      <c r="H292" s="152"/>
      <c r="I292" s="152"/>
    </row>
    <row r="293" spans="1:9" hidden="1">
      <c r="A293" s="412" t="str">
        <f>Texte!A156</f>
        <v>Bisonti fino a 900 giorni</v>
      </c>
      <c r="B293" s="289"/>
      <c r="F293" s="130"/>
      <c r="H293" s="152"/>
      <c r="I293" s="152"/>
    </row>
    <row r="294" spans="1:9" hidden="1">
      <c r="A294" s="412" t="str">
        <f>Texte!A157</f>
        <v>Lama di oltre 2 anni</v>
      </c>
      <c r="B294" s="289"/>
      <c r="F294" s="130"/>
      <c r="H294" s="152"/>
      <c r="I294" s="152"/>
    </row>
    <row r="295" spans="1:9" hidden="1">
      <c r="A295" s="412" t="str">
        <f>Texte!A158</f>
        <v>Lama al di sotto dei 2 anni</v>
      </c>
      <c r="B295" s="289"/>
      <c r="F295" s="130"/>
      <c r="H295" s="152"/>
      <c r="I295" s="152"/>
    </row>
    <row r="296" spans="1:9" hidden="1">
      <c r="A296" s="412" t="str">
        <f>Texte!A159</f>
        <v>Alpaca di oltre 2 anni</v>
      </c>
      <c r="B296" s="289"/>
      <c r="F296" s="130"/>
      <c r="H296" s="152"/>
      <c r="I296" s="152"/>
    </row>
    <row r="297" spans="1:9" hidden="1">
      <c r="A297" s="412" t="str">
        <f>Texte!A160</f>
        <v>Alpaca al di sotto dei 2 anni</v>
      </c>
      <c r="B297" s="289"/>
      <c r="F297" s="130"/>
      <c r="H297" s="152"/>
      <c r="I297" s="152"/>
    </row>
    <row r="298" spans="1:9" hidden="1">
      <c r="A298" s="412"/>
      <c r="B298" s="289"/>
      <c r="F298" s="130"/>
      <c r="H298" s="152"/>
      <c r="I298" s="152"/>
    </row>
    <row r="299" spans="1:9" hidden="1">
      <c r="A299" s="412"/>
      <c r="B299" s="289"/>
      <c r="F299" s="130"/>
      <c r="H299" s="152"/>
      <c r="I299" s="152"/>
    </row>
    <row r="300" spans="1:9" hidden="1">
      <c r="A300" s="412"/>
      <c r="B300" s="289"/>
      <c r="F300" s="130"/>
      <c r="H300" s="152"/>
      <c r="I300" s="152"/>
    </row>
    <row r="301" spans="1:9" hidden="1">
      <c r="A301" s="412"/>
      <c r="B301" s="289"/>
      <c r="F301" s="130"/>
      <c r="H301" s="152"/>
      <c r="I301" s="152"/>
    </row>
    <row r="302" spans="1:9" hidden="1">
      <c r="A302" s="412"/>
      <c r="B302" s="289"/>
      <c r="F302" s="130"/>
      <c r="H302" s="152"/>
      <c r="I302" s="152"/>
    </row>
    <row r="303" spans="1:9" hidden="1">
      <c r="A303" s="412"/>
      <c r="B303" s="289"/>
      <c r="F303" s="130"/>
      <c r="H303" s="152"/>
      <c r="I303" s="152"/>
    </row>
    <row r="304" spans="1:9" hidden="1">
      <c r="A304" s="412"/>
      <c r="B304" s="289"/>
      <c r="F304" s="130"/>
      <c r="H304" s="152"/>
      <c r="I304" s="152"/>
    </row>
    <row r="305" spans="1:9" hidden="1">
      <c r="A305" s="412"/>
      <c r="B305" s="289"/>
      <c r="F305" s="130"/>
      <c r="H305" s="152"/>
      <c r="I305" s="152"/>
    </row>
    <row r="306" spans="1:9" hidden="1">
      <c r="A306" s="412" t="str">
        <f>Texte!A171</f>
        <v>Posta da scrofa in asciutta</v>
      </c>
      <c r="B306" s="289"/>
      <c r="F306" s="130"/>
      <c r="H306" s="152"/>
      <c r="I306" s="152"/>
    </row>
    <row r="307" spans="1:9" hidden="1">
      <c r="A307" s="412" t="str">
        <f>Texte!A172</f>
        <v>Scrofe in asciutta, per ciclo</v>
      </c>
      <c r="B307" s="289"/>
      <c r="F307" s="130"/>
      <c r="H307" s="152"/>
      <c r="I307" s="152"/>
    </row>
    <row r="308" spans="1:9" hidden="1">
      <c r="A308" s="412" t="str">
        <f>Texte!A173</f>
        <v>Scrofe riproduttrici, in lattazione</v>
      </c>
      <c r="B308" s="289"/>
      <c r="F308" s="130"/>
      <c r="H308" s="152"/>
      <c r="I308" s="152"/>
    </row>
    <row r="309" spans="1:9" hidden="1">
      <c r="A309" s="412" t="str">
        <f>Texte!A174</f>
        <v>Scrofe riproduttrici, in lattazione, per ciclo</v>
      </c>
      <c r="B309" s="289"/>
      <c r="F309" s="130"/>
      <c r="H309" s="152"/>
      <c r="I309" s="152"/>
    </row>
    <row r="310" spans="1:9" hidden="1">
      <c r="A310" s="412" t="str">
        <f>Texte!A175</f>
        <v>Verri da allevamento</v>
      </c>
      <c r="B310" s="289"/>
      <c r="F310" s="130"/>
      <c r="H310" s="152"/>
      <c r="I310" s="152"/>
    </row>
    <row r="311" spans="1:9" hidden="1">
      <c r="A311" s="412"/>
      <c r="B311" s="289"/>
      <c r="F311" s="130"/>
      <c r="H311" s="152"/>
      <c r="I311" s="152"/>
    </row>
    <row r="312" spans="1:9" hidden="1">
      <c r="A312" s="130"/>
      <c r="F312" s="130"/>
      <c r="H312" s="152"/>
      <c r="I312" s="152"/>
    </row>
    <row r="313" spans="1:9" hidden="1">
      <c r="A313" s="130"/>
      <c r="F313" s="130"/>
      <c r="H313" s="152"/>
      <c r="I313" s="152"/>
    </row>
    <row r="314" spans="1:9" hidden="1">
      <c r="F314" s="130"/>
      <c r="H314" s="152"/>
      <c r="I314" s="152"/>
    </row>
    <row r="315" spans="1:9" hidden="1">
      <c r="A315" s="130"/>
      <c r="F315" s="130"/>
      <c r="H315" s="152"/>
      <c r="I315" s="152"/>
    </row>
    <row r="316" spans="1:9">
      <c r="A316" s="130"/>
      <c r="F316" s="130"/>
      <c r="H316" s="152"/>
      <c r="I316" s="152"/>
    </row>
    <row r="317" spans="1:9">
      <c r="A317" s="130"/>
      <c r="F317" s="130"/>
      <c r="H317" s="152"/>
      <c r="I317" s="152"/>
    </row>
    <row r="318" spans="1:9">
      <c r="A318" s="130"/>
      <c r="G318" s="152"/>
      <c r="H318" s="152"/>
      <c r="I318" s="152"/>
    </row>
    <row r="319" spans="1:9">
      <c r="A319" s="130"/>
      <c r="G319" s="152"/>
      <c r="H319" s="152"/>
      <c r="I319" s="152"/>
    </row>
    <row r="320" spans="1:9">
      <c r="A320" s="130"/>
      <c r="G320" s="152"/>
      <c r="H320" s="152"/>
      <c r="I320" s="152"/>
    </row>
    <row r="321" spans="1:9">
      <c r="A321" s="130"/>
      <c r="G321" s="152"/>
      <c r="H321" s="152"/>
      <c r="I321" s="152"/>
    </row>
    <row r="322" spans="1:9">
      <c r="A322" s="130"/>
      <c r="G322" s="152"/>
      <c r="H322" s="152"/>
      <c r="I322" s="152"/>
    </row>
    <row r="323" spans="1:9">
      <c r="A323" s="130"/>
      <c r="G323" s="152"/>
      <c r="H323" s="152"/>
      <c r="I323" s="152"/>
    </row>
    <row r="324" spans="1:9">
      <c r="A324" s="130"/>
      <c r="G324" s="152"/>
      <c r="H324" s="152"/>
      <c r="I324" s="152"/>
    </row>
    <row r="325" spans="1:9">
      <c r="A325" s="130"/>
      <c r="G325" s="152"/>
      <c r="H325" s="152"/>
      <c r="I325" s="152"/>
    </row>
    <row r="326" spans="1:9">
      <c r="A326" s="130"/>
      <c r="G326" s="152"/>
      <c r="H326" s="152"/>
      <c r="I326" s="152"/>
    </row>
    <row r="327" spans="1:9">
      <c r="A327" s="130"/>
      <c r="G327" s="152"/>
      <c r="H327" s="152"/>
      <c r="I327" s="152"/>
    </row>
    <row r="328" spans="1:9">
      <c r="A328" s="130"/>
      <c r="G328" s="152"/>
      <c r="H328" s="152"/>
      <c r="I328" s="152"/>
    </row>
    <row r="329" spans="1:9">
      <c r="A329" s="130"/>
      <c r="G329" s="152"/>
      <c r="H329" s="152"/>
      <c r="I329" s="152"/>
    </row>
    <row r="330" spans="1:9">
      <c r="A330" s="130"/>
      <c r="G330" s="152"/>
      <c r="H330" s="152"/>
      <c r="I330" s="152"/>
    </row>
    <row r="331" spans="1:9">
      <c r="A331" s="130"/>
      <c r="G331" s="152"/>
      <c r="H331" s="152"/>
      <c r="I331" s="152"/>
    </row>
    <row r="332" spans="1:9">
      <c r="A332" s="130"/>
      <c r="G332" s="152"/>
      <c r="H332" s="152"/>
      <c r="I332" s="152"/>
    </row>
    <row r="333" spans="1:9">
      <c r="A333" s="130"/>
      <c r="G333" s="152"/>
      <c r="H333" s="152"/>
      <c r="I333" s="152"/>
    </row>
    <row r="334" spans="1:9">
      <c r="A334" s="130"/>
      <c r="G334" s="152"/>
      <c r="H334" s="152"/>
      <c r="I334" s="152"/>
    </row>
    <row r="335" spans="1:9">
      <c r="A335" s="130"/>
      <c r="G335" s="152"/>
      <c r="H335" s="152"/>
      <c r="I335" s="152"/>
    </row>
    <row r="336" spans="1:9">
      <c r="A336" s="130"/>
      <c r="G336" s="152"/>
      <c r="H336" s="152"/>
      <c r="I336" s="152"/>
    </row>
    <row r="337" spans="1:9">
      <c r="A337" s="130"/>
      <c r="G337" s="152"/>
      <c r="H337" s="152"/>
      <c r="I337" s="152"/>
    </row>
    <row r="338" spans="1:9">
      <c r="A338" s="130"/>
      <c r="G338" s="152"/>
      <c r="H338" s="152"/>
      <c r="I338" s="152"/>
    </row>
    <row r="339" spans="1:9">
      <c r="A339" s="130"/>
      <c r="G339" s="152"/>
      <c r="H339" s="152"/>
      <c r="I339" s="152"/>
    </row>
    <row r="340" spans="1:9">
      <c r="A340" s="130"/>
      <c r="G340" s="152"/>
      <c r="H340" s="152"/>
      <c r="I340" s="152"/>
    </row>
    <row r="341" spans="1:9">
      <c r="A341" s="130"/>
      <c r="G341" s="152"/>
      <c r="H341" s="152"/>
      <c r="I341" s="152"/>
    </row>
    <row r="342" spans="1:9">
      <c r="A342" s="130"/>
      <c r="G342" s="152"/>
      <c r="H342" s="152"/>
      <c r="I342" s="152"/>
    </row>
    <row r="343" spans="1:9">
      <c r="A343" s="130"/>
      <c r="G343" s="152"/>
      <c r="H343" s="152"/>
      <c r="I343" s="152"/>
    </row>
    <row r="344" spans="1:9">
      <c r="A344" s="130"/>
      <c r="B344" s="152"/>
      <c r="C344" s="152"/>
      <c r="D344" s="152"/>
      <c r="E344" s="152"/>
      <c r="F344" s="152"/>
      <c r="G344" s="152"/>
      <c r="H344" s="152"/>
      <c r="I344" s="152"/>
    </row>
    <row r="345" spans="1:9">
      <c r="A345" s="130"/>
      <c r="B345" s="152"/>
      <c r="C345" s="152"/>
      <c r="D345" s="152"/>
      <c r="E345" s="152"/>
      <c r="F345" s="152"/>
      <c r="G345" s="152"/>
      <c r="H345" s="152"/>
      <c r="I345" s="152"/>
    </row>
    <row r="346" spans="1:9">
      <c r="A346" s="130"/>
      <c r="B346" s="152"/>
      <c r="C346" s="152"/>
      <c r="D346" s="152"/>
      <c r="E346" s="152"/>
      <c r="F346" s="152"/>
      <c r="G346" s="152"/>
      <c r="H346" s="152"/>
      <c r="I346" s="152"/>
    </row>
    <row r="347" spans="1:9">
      <c r="A347" s="130"/>
      <c r="B347" s="152"/>
      <c r="C347" s="152"/>
      <c r="D347" s="152"/>
      <c r="E347" s="152"/>
      <c r="F347" s="152"/>
      <c r="G347" s="152"/>
      <c r="H347" s="152"/>
      <c r="I347" s="152"/>
    </row>
    <row r="348" spans="1:9">
      <c r="A348" s="130"/>
      <c r="B348" s="152"/>
      <c r="C348" s="152"/>
      <c r="D348" s="152"/>
      <c r="E348" s="152"/>
      <c r="F348" s="152"/>
      <c r="G348" s="152"/>
      <c r="H348" s="152"/>
      <c r="I348" s="152"/>
    </row>
    <row r="349" spans="1:9">
      <c r="A349" s="130"/>
      <c r="B349" s="152"/>
      <c r="C349" s="152"/>
      <c r="D349" s="152"/>
      <c r="E349" s="152"/>
      <c r="F349" s="152"/>
      <c r="G349" s="152"/>
      <c r="H349" s="152"/>
      <c r="I349" s="152"/>
    </row>
    <row r="350" spans="1:9">
      <c r="A350" s="130"/>
      <c r="B350" s="152"/>
      <c r="C350" s="152"/>
      <c r="D350" s="152"/>
      <c r="E350" s="152"/>
      <c r="F350" s="152"/>
      <c r="G350" s="152"/>
      <c r="H350" s="152"/>
      <c r="I350" s="152"/>
    </row>
    <row r="351" spans="1:9">
      <c r="A351" s="130"/>
      <c r="B351" s="152"/>
      <c r="C351" s="152"/>
      <c r="D351" s="152"/>
      <c r="E351" s="152"/>
      <c r="F351" s="152"/>
      <c r="G351" s="152"/>
      <c r="H351" s="152"/>
      <c r="I351" s="152"/>
    </row>
    <row r="352" spans="1:9">
      <c r="A352" s="130"/>
      <c r="B352" s="152"/>
      <c r="C352" s="152"/>
      <c r="D352" s="152"/>
      <c r="E352" s="152"/>
      <c r="F352" s="152"/>
      <c r="G352" s="152"/>
      <c r="H352" s="152"/>
      <c r="I352" s="152"/>
    </row>
    <row r="353" spans="1:9">
      <c r="A353" s="130"/>
      <c r="B353" s="152"/>
      <c r="C353" s="152"/>
      <c r="D353" s="152"/>
      <c r="E353" s="152"/>
      <c r="F353" s="152"/>
      <c r="G353" s="152"/>
      <c r="H353" s="152"/>
      <c r="I353" s="152"/>
    </row>
    <row r="354" spans="1:9">
      <c r="A354" s="130"/>
      <c r="B354" s="152"/>
      <c r="C354" s="152"/>
      <c r="D354" s="152"/>
      <c r="E354" s="152"/>
      <c r="F354" s="152"/>
      <c r="G354" s="152"/>
      <c r="H354" s="152"/>
      <c r="I354" s="152"/>
    </row>
    <row r="355" spans="1:9">
      <c r="A355" s="130"/>
      <c r="B355" s="152"/>
      <c r="C355" s="152"/>
      <c r="D355" s="152"/>
      <c r="E355" s="152"/>
      <c r="F355" s="152"/>
      <c r="G355" s="152"/>
      <c r="H355" s="152"/>
      <c r="I355" s="152"/>
    </row>
    <row r="356" spans="1:9">
      <c r="A356" s="130"/>
      <c r="B356" s="152"/>
      <c r="C356" s="152"/>
      <c r="D356" s="152"/>
      <c r="E356" s="152"/>
      <c r="F356" s="152"/>
      <c r="G356" s="152"/>
      <c r="H356" s="152"/>
      <c r="I356" s="152"/>
    </row>
    <row r="357" spans="1:9">
      <c r="A357" s="130"/>
      <c r="B357" s="152"/>
      <c r="C357" s="152"/>
      <c r="D357" s="152"/>
      <c r="E357" s="152"/>
      <c r="F357" s="152"/>
      <c r="G357" s="152"/>
      <c r="H357" s="152"/>
      <c r="I357" s="152"/>
    </row>
    <row r="358" spans="1:9">
      <c r="A358" s="130"/>
      <c r="B358" s="152"/>
      <c r="C358" s="152"/>
      <c r="D358" s="152"/>
      <c r="E358" s="152"/>
      <c r="F358" s="152"/>
      <c r="G358" s="152"/>
      <c r="H358" s="152"/>
      <c r="I358" s="152"/>
    </row>
    <row r="359" spans="1:9">
      <c r="A359" s="130"/>
      <c r="B359" s="152"/>
      <c r="C359" s="152"/>
      <c r="D359" s="152"/>
      <c r="E359" s="152"/>
      <c r="F359" s="152"/>
      <c r="G359" s="152"/>
      <c r="H359" s="152"/>
      <c r="I359" s="152"/>
    </row>
    <row r="360" spans="1:9">
      <c r="A360" s="130"/>
      <c r="B360" s="152"/>
      <c r="C360" s="152"/>
      <c r="D360" s="152"/>
      <c r="E360" s="152"/>
      <c r="F360" s="152"/>
      <c r="G360" s="152"/>
      <c r="H360" s="152"/>
      <c r="I360" s="152"/>
    </row>
    <row r="361" spans="1:9">
      <c r="A361" s="130"/>
      <c r="B361" s="152"/>
      <c r="C361" s="152"/>
      <c r="D361" s="152"/>
      <c r="E361" s="152"/>
      <c r="F361" s="152"/>
      <c r="G361" s="152"/>
      <c r="H361" s="152"/>
      <c r="I361" s="152"/>
    </row>
    <row r="362" spans="1:9">
      <c r="A362" s="130"/>
      <c r="B362" s="152"/>
      <c r="C362" s="152"/>
      <c r="D362" s="152"/>
      <c r="E362" s="152"/>
      <c r="F362" s="152"/>
      <c r="G362" s="152"/>
      <c r="H362" s="152"/>
      <c r="I362" s="152"/>
    </row>
    <row r="363" spans="1:9">
      <c r="A363" s="130"/>
      <c r="B363" s="152"/>
      <c r="C363" s="152"/>
      <c r="D363" s="152"/>
      <c r="E363" s="152"/>
      <c r="F363" s="152"/>
      <c r="G363" s="152"/>
      <c r="H363" s="152"/>
      <c r="I363" s="152"/>
    </row>
    <row r="364" spans="1:9">
      <c r="A364" s="130"/>
      <c r="B364" s="152"/>
      <c r="C364" s="152"/>
      <c r="D364" s="152"/>
      <c r="E364" s="152"/>
      <c r="F364" s="152"/>
      <c r="G364" s="152"/>
      <c r="H364" s="152"/>
      <c r="I364" s="152"/>
    </row>
    <row r="365" spans="1:9">
      <c r="A365" s="130"/>
      <c r="B365" s="152"/>
      <c r="C365" s="152"/>
      <c r="D365" s="152"/>
      <c r="E365" s="152"/>
      <c r="F365" s="152"/>
      <c r="G365" s="152"/>
      <c r="H365" s="152"/>
      <c r="I365" s="152"/>
    </row>
    <row r="366" spans="1:9" ht="13.15" customHeight="1">
      <c r="A366" s="432"/>
      <c r="D366" s="152"/>
      <c r="E366" s="152"/>
      <c r="F366" s="152"/>
      <c r="G366" s="152"/>
      <c r="H366" s="152"/>
      <c r="I366" s="152"/>
    </row>
    <row r="367" spans="1:9">
      <c r="D367" s="152"/>
      <c r="E367" s="152"/>
      <c r="F367" s="152"/>
      <c r="G367" s="152"/>
      <c r="H367" s="152"/>
      <c r="I367" s="152"/>
    </row>
    <row r="368" spans="1:9">
      <c r="A368" s="152"/>
      <c r="B368" s="152"/>
      <c r="C368" s="152"/>
      <c r="D368" s="152"/>
      <c r="E368" s="152"/>
      <c r="F368" s="152"/>
      <c r="G368" s="152"/>
      <c r="H368" s="152"/>
      <c r="I368" s="152"/>
    </row>
    <row r="369" spans="1:9">
      <c r="A369" s="152"/>
      <c r="B369" s="152"/>
      <c r="C369" s="152"/>
      <c r="D369" s="152"/>
      <c r="E369" s="152"/>
      <c r="F369" s="152"/>
      <c r="G369" s="152"/>
      <c r="H369" s="152"/>
      <c r="I369" s="152"/>
    </row>
    <row r="370" spans="1:9">
      <c r="A370" s="152"/>
      <c r="B370" s="152"/>
      <c r="C370" s="152"/>
      <c r="D370" s="152"/>
      <c r="E370" s="152"/>
      <c r="F370" s="152"/>
      <c r="G370" s="152"/>
      <c r="H370" s="152"/>
      <c r="I370" s="152"/>
    </row>
    <row r="371" spans="1:9">
      <c r="A371" s="152"/>
      <c r="B371" s="152"/>
      <c r="C371" s="152"/>
      <c r="D371" s="152"/>
      <c r="E371" s="152"/>
      <c r="F371" s="152"/>
      <c r="G371" s="152"/>
      <c r="H371" s="152"/>
      <c r="I371" s="152"/>
    </row>
    <row r="372" spans="1:9">
      <c r="A372" s="152"/>
      <c r="B372" s="152"/>
      <c r="C372" s="152"/>
      <c r="D372" s="152"/>
      <c r="E372" s="152"/>
      <c r="F372" s="152"/>
      <c r="G372" s="152"/>
      <c r="H372" s="152"/>
      <c r="I372" s="152"/>
    </row>
    <row r="373" spans="1:9">
      <c r="A373" s="152"/>
      <c r="B373" s="152"/>
      <c r="C373" s="152"/>
      <c r="D373" s="152"/>
      <c r="E373" s="152"/>
      <c r="F373" s="152"/>
      <c r="G373" s="152"/>
      <c r="H373" s="152"/>
      <c r="I373" s="152"/>
    </row>
    <row r="374" spans="1:9">
      <c r="A374" s="152"/>
      <c r="B374" s="152"/>
      <c r="C374" s="152"/>
      <c r="D374" s="152"/>
      <c r="E374" s="152"/>
      <c r="F374" s="152"/>
      <c r="G374" s="152"/>
      <c r="H374" s="152"/>
      <c r="I374" s="152"/>
    </row>
    <row r="375" spans="1:9">
      <c r="A375" s="152"/>
      <c r="B375" s="152"/>
      <c r="C375" s="152"/>
      <c r="D375" s="152"/>
      <c r="E375" s="152"/>
      <c r="F375" s="152"/>
      <c r="G375" s="152"/>
      <c r="H375" s="152"/>
      <c r="I375" s="152"/>
    </row>
    <row r="376" spans="1:9">
      <c r="A376" s="152"/>
      <c r="B376" s="152"/>
      <c r="C376" s="152"/>
      <c r="D376" s="152"/>
      <c r="E376" s="152"/>
      <c r="F376" s="152"/>
      <c r="G376" s="152"/>
      <c r="H376" s="152"/>
      <c r="I376" s="152"/>
    </row>
    <row r="377" spans="1:9">
      <c r="A377" s="152"/>
      <c r="B377" s="152"/>
      <c r="C377" s="152"/>
      <c r="D377" s="152"/>
      <c r="E377" s="152"/>
      <c r="F377" s="152"/>
      <c r="G377" s="152"/>
      <c r="H377" s="152"/>
      <c r="I377" s="152"/>
    </row>
    <row r="378" spans="1:9">
      <c r="A378" s="152"/>
      <c r="B378" s="152"/>
      <c r="C378" s="152"/>
      <c r="D378" s="152"/>
      <c r="E378" s="152"/>
      <c r="F378" s="152"/>
      <c r="G378" s="152"/>
      <c r="H378" s="152"/>
      <c r="I378" s="152"/>
    </row>
    <row r="379" spans="1:9">
      <c r="A379" s="152"/>
      <c r="B379" s="152"/>
      <c r="C379" s="152"/>
      <c r="D379" s="152"/>
      <c r="E379" s="152"/>
      <c r="F379" s="152"/>
      <c r="G379" s="152"/>
      <c r="H379" s="152"/>
      <c r="I379" s="152"/>
    </row>
    <row r="380" spans="1:9">
      <c r="A380" s="152"/>
      <c r="B380" s="152"/>
      <c r="C380" s="152"/>
      <c r="D380" s="152"/>
      <c r="E380" s="152"/>
      <c r="F380" s="152"/>
      <c r="G380" s="152"/>
      <c r="H380" s="152"/>
      <c r="I380" s="152"/>
    </row>
    <row r="381" spans="1:9">
      <c r="A381" s="152"/>
      <c r="B381" s="152"/>
      <c r="C381" s="152"/>
      <c r="D381" s="152"/>
      <c r="E381" s="152"/>
      <c r="F381" s="152"/>
      <c r="G381" s="152"/>
      <c r="H381" s="152"/>
      <c r="I381" s="152"/>
    </row>
    <row r="382" spans="1:9">
      <c r="A382" s="152"/>
      <c r="B382" s="152"/>
      <c r="C382" s="152"/>
      <c r="D382" s="152"/>
      <c r="E382" s="152"/>
      <c r="F382" s="152"/>
      <c r="G382" s="152"/>
      <c r="H382" s="152"/>
      <c r="I382" s="152"/>
    </row>
    <row r="383" spans="1:9">
      <c r="A383" s="152"/>
      <c r="B383" s="152"/>
      <c r="C383" s="152"/>
      <c r="D383" s="152"/>
      <c r="E383" s="152"/>
      <c r="F383" s="152"/>
      <c r="G383" s="152"/>
      <c r="H383" s="152"/>
      <c r="I383" s="152"/>
    </row>
    <row r="384" spans="1:9">
      <c r="A384" s="152"/>
      <c r="B384" s="152"/>
      <c r="C384" s="152"/>
      <c r="D384" s="152"/>
      <c r="E384" s="152"/>
      <c r="F384" s="152"/>
      <c r="G384" s="152"/>
      <c r="H384" s="152"/>
      <c r="I384" s="152"/>
    </row>
    <row r="385" spans="1:9">
      <c r="A385" s="152"/>
      <c r="B385" s="152"/>
      <c r="C385" s="152"/>
      <c r="D385" s="152"/>
      <c r="E385" s="152"/>
      <c r="F385" s="152"/>
      <c r="G385" s="152"/>
      <c r="H385" s="152"/>
      <c r="I385" s="152"/>
    </row>
    <row r="386" spans="1:9">
      <c r="A386" s="152"/>
      <c r="B386" s="152"/>
      <c r="C386" s="152"/>
      <c r="D386" s="152"/>
      <c r="E386" s="152"/>
      <c r="F386" s="152"/>
      <c r="G386" s="152"/>
      <c r="H386" s="152"/>
      <c r="I386" s="152"/>
    </row>
    <row r="387" spans="1:9">
      <c r="A387" s="152"/>
      <c r="B387" s="152"/>
      <c r="C387" s="152"/>
      <c r="D387" s="152"/>
      <c r="E387" s="152"/>
      <c r="F387" s="152"/>
      <c r="G387" s="152"/>
      <c r="H387" s="152"/>
      <c r="I387" s="152"/>
    </row>
    <row r="388" spans="1:9">
      <c r="A388" s="152"/>
      <c r="B388" s="152"/>
      <c r="C388" s="152"/>
      <c r="D388" s="152"/>
      <c r="E388" s="152"/>
      <c r="F388" s="152"/>
      <c r="G388" s="152"/>
      <c r="H388" s="152"/>
      <c r="I388" s="152"/>
    </row>
    <row r="389" spans="1:9">
      <c r="A389" s="152"/>
      <c r="B389" s="152"/>
      <c r="C389" s="152"/>
      <c r="D389" s="152"/>
      <c r="E389" s="152"/>
      <c r="F389" s="152"/>
      <c r="G389" s="152"/>
      <c r="H389" s="152"/>
      <c r="I389" s="152"/>
    </row>
    <row r="390" spans="1:9">
      <c r="A390" s="152"/>
      <c r="B390" s="152"/>
      <c r="C390" s="152"/>
      <c r="D390" s="152"/>
      <c r="E390" s="152"/>
      <c r="F390" s="152"/>
      <c r="G390" s="152"/>
      <c r="H390" s="152"/>
      <c r="I390" s="152"/>
    </row>
    <row r="391" spans="1:9">
      <c r="A391" s="152"/>
      <c r="B391" s="152"/>
      <c r="C391" s="152"/>
      <c r="D391" s="152"/>
      <c r="E391" s="152"/>
      <c r="F391" s="152"/>
      <c r="G391" s="152"/>
      <c r="H391" s="152"/>
      <c r="I391" s="152"/>
    </row>
    <row r="392" spans="1:9">
      <c r="A392" s="152"/>
      <c r="B392" s="152"/>
      <c r="C392" s="152"/>
      <c r="D392" s="152"/>
      <c r="E392" s="152"/>
      <c r="F392" s="152"/>
      <c r="G392" s="152"/>
      <c r="H392" s="152"/>
      <c r="I392" s="152"/>
    </row>
    <row r="393" spans="1:9">
      <c r="A393" s="152"/>
      <c r="B393" s="152"/>
      <c r="C393" s="152"/>
      <c r="D393" s="152"/>
      <c r="E393" s="152"/>
      <c r="F393" s="152"/>
      <c r="G393" s="152"/>
      <c r="H393" s="152"/>
      <c r="I393" s="152"/>
    </row>
    <row r="394" spans="1:9">
      <c r="A394" s="152"/>
      <c r="B394" s="152"/>
      <c r="C394" s="152"/>
      <c r="D394" s="152"/>
      <c r="E394" s="152"/>
      <c r="F394" s="152"/>
      <c r="G394" s="152"/>
      <c r="H394" s="152"/>
      <c r="I394" s="152"/>
    </row>
    <row r="395" spans="1:9">
      <c r="A395" s="152"/>
      <c r="B395" s="152"/>
      <c r="C395" s="152"/>
      <c r="D395" s="152"/>
      <c r="E395" s="152"/>
      <c r="F395" s="152"/>
      <c r="G395" s="152"/>
      <c r="H395" s="152"/>
      <c r="I395" s="152"/>
    </row>
    <row r="396" spans="1:9">
      <c r="A396" s="152"/>
      <c r="B396" s="152"/>
      <c r="C396" s="152"/>
      <c r="D396" s="152"/>
      <c r="E396" s="152"/>
      <c r="F396" s="187"/>
      <c r="G396" s="187"/>
      <c r="H396" s="187"/>
      <c r="I396" s="152"/>
    </row>
    <row r="397" spans="1:9">
      <c r="A397" s="152"/>
      <c r="B397" s="152"/>
      <c r="C397" s="152"/>
      <c r="D397" s="152"/>
      <c r="E397" s="152"/>
      <c r="F397" s="187"/>
      <c r="G397" s="187"/>
      <c r="H397" s="187"/>
      <c r="I397" s="152"/>
    </row>
    <row r="398" spans="1:9">
      <c r="A398" s="152"/>
      <c r="B398" s="152"/>
      <c r="C398" s="152"/>
      <c r="D398" s="152"/>
      <c r="E398" s="152"/>
      <c r="F398" s="187"/>
      <c r="G398" s="187"/>
      <c r="H398" s="187"/>
      <c r="I398" s="152"/>
    </row>
    <row r="399" spans="1:9">
      <c r="A399" s="152"/>
      <c r="B399" s="152"/>
      <c r="C399" s="152"/>
      <c r="D399" s="152"/>
      <c r="E399" s="152"/>
      <c r="F399" s="152"/>
      <c r="G399" s="152"/>
      <c r="H399" s="152"/>
      <c r="I399" s="152"/>
    </row>
    <row r="400" spans="1:9">
      <c r="A400" s="152"/>
      <c r="B400" s="152"/>
      <c r="C400" s="152"/>
      <c r="D400" s="152"/>
      <c r="E400" s="152"/>
      <c r="F400" s="152"/>
      <c r="G400" s="152"/>
      <c r="H400" s="152"/>
      <c r="I400" s="152"/>
    </row>
    <row r="401" spans="1:9">
      <c r="A401" s="152"/>
      <c r="B401" s="152"/>
      <c r="C401" s="152"/>
      <c r="D401" s="152"/>
      <c r="E401" s="152"/>
      <c r="F401" s="152"/>
      <c r="G401" s="152"/>
      <c r="H401" s="152"/>
      <c r="I401" s="152"/>
    </row>
    <row r="402" spans="1:9">
      <c r="A402" s="152"/>
      <c r="B402" s="152"/>
      <c r="C402" s="152"/>
      <c r="D402" s="152"/>
      <c r="E402" s="152"/>
      <c r="F402" s="152"/>
      <c r="G402" s="152"/>
      <c r="H402" s="152"/>
      <c r="I402" s="152"/>
    </row>
    <row r="403" spans="1:9">
      <c r="A403" s="152"/>
      <c r="B403" s="152"/>
      <c r="C403" s="152"/>
      <c r="D403" s="152"/>
      <c r="E403" s="152"/>
      <c r="F403" s="152"/>
      <c r="G403" s="152"/>
      <c r="H403" s="152"/>
      <c r="I403" s="152"/>
    </row>
    <row r="404" spans="1:9">
      <c r="A404" s="152"/>
      <c r="B404" s="152"/>
      <c r="C404" s="152"/>
      <c r="D404" s="152"/>
      <c r="E404" s="152"/>
      <c r="F404" s="152"/>
      <c r="G404" s="152"/>
      <c r="H404" s="152"/>
      <c r="I404" s="152"/>
    </row>
    <row r="405" spans="1:9">
      <c r="A405" s="152"/>
      <c r="B405" s="152"/>
      <c r="C405" s="152"/>
      <c r="D405" s="152"/>
      <c r="E405" s="152"/>
      <c r="F405" s="152"/>
      <c r="G405" s="152"/>
      <c r="H405" s="152"/>
      <c r="I405" s="152"/>
    </row>
    <row r="406" spans="1:9">
      <c r="A406" s="152"/>
      <c r="B406" s="152"/>
      <c r="C406" s="152"/>
      <c r="D406" s="152"/>
      <c r="E406" s="152"/>
      <c r="F406" s="152"/>
      <c r="G406" s="152"/>
      <c r="H406" s="152"/>
      <c r="I406" s="152"/>
    </row>
    <row r="407" spans="1:9">
      <c r="A407" s="152"/>
      <c r="B407" s="152"/>
      <c r="C407" s="152"/>
      <c r="D407" s="152"/>
      <c r="E407" s="152"/>
      <c r="F407" s="152"/>
      <c r="G407" s="152"/>
      <c r="H407" s="152"/>
      <c r="I407" s="152"/>
    </row>
    <row r="408" spans="1:9">
      <c r="A408" s="152"/>
      <c r="B408" s="152"/>
      <c r="C408" s="152"/>
      <c r="D408" s="152"/>
      <c r="E408" s="152"/>
      <c r="F408" s="152"/>
      <c r="G408" s="152"/>
      <c r="H408" s="152"/>
      <c r="I408" s="152"/>
    </row>
    <row r="409" spans="1:9">
      <c r="A409" s="152"/>
      <c r="B409" s="152"/>
      <c r="C409" s="152"/>
      <c r="D409" s="152"/>
      <c r="E409" s="152"/>
      <c r="F409" s="152"/>
      <c r="G409" s="152"/>
      <c r="H409" s="152"/>
      <c r="I409" s="152"/>
    </row>
    <row r="410" spans="1:9">
      <c r="A410" s="152"/>
      <c r="B410" s="152"/>
      <c r="C410" s="152"/>
      <c r="D410" s="152"/>
      <c r="E410" s="152"/>
      <c r="F410" s="152"/>
      <c r="G410" s="152"/>
      <c r="H410" s="152"/>
      <c r="I410" s="152"/>
    </row>
    <row r="411" spans="1:9">
      <c r="A411" s="152"/>
      <c r="B411" s="152"/>
      <c r="C411" s="152"/>
      <c r="D411" s="152"/>
      <c r="E411" s="152"/>
      <c r="F411" s="152"/>
      <c r="G411" s="152"/>
      <c r="H411" s="152"/>
      <c r="I411" s="152"/>
    </row>
    <row r="412" spans="1:9">
      <c r="A412" s="152"/>
      <c r="B412" s="152"/>
      <c r="C412" s="152"/>
      <c r="D412" s="152"/>
      <c r="E412" s="152"/>
      <c r="F412" s="152"/>
      <c r="G412" s="152"/>
      <c r="H412" s="152"/>
      <c r="I412" s="152"/>
    </row>
    <row r="413" spans="1:9">
      <c r="A413" s="152"/>
      <c r="B413" s="152"/>
      <c r="C413" s="152"/>
      <c r="D413" s="152"/>
      <c r="E413" s="152"/>
      <c r="F413" s="152"/>
      <c r="G413" s="152"/>
      <c r="H413" s="152"/>
      <c r="I413" s="152"/>
    </row>
    <row r="414" spans="1:9">
      <c r="A414" s="152"/>
      <c r="B414" s="152"/>
      <c r="C414" s="152"/>
      <c r="D414" s="152"/>
      <c r="E414" s="152"/>
      <c r="F414" s="152"/>
      <c r="G414" s="152"/>
      <c r="H414" s="152"/>
      <c r="I414" s="152"/>
    </row>
    <row r="415" spans="1:9">
      <c r="A415" s="152"/>
      <c r="B415" s="152"/>
      <c r="C415" s="152"/>
      <c r="D415" s="152"/>
      <c r="E415" s="152"/>
      <c r="F415" s="152"/>
      <c r="G415" s="152"/>
      <c r="H415" s="152"/>
      <c r="I415" s="152"/>
    </row>
    <row r="416" spans="1:9">
      <c r="A416" s="152"/>
      <c r="B416" s="152"/>
      <c r="C416" s="152"/>
      <c r="D416" s="152"/>
      <c r="E416" s="152"/>
      <c r="F416" s="152"/>
      <c r="G416" s="152"/>
      <c r="H416" s="152"/>
      <c r="I416" s="152"/>
    </row>
    <row r="417" spans="1:3">
      <c r="A417" s="152"/>
      <c r="B417" s="152"/>
      <c r="C417" s="152"/>
    </row>
    <row r="418" spans="1:3">
      <c r="A418" s="152"/>
      <c r="B418" s="152"/>
      <c r="C418" s="152"/>
    </row>
    <row r="419" spans="1:3">
      <c r="A419" s="152"/>
      <c r="B419" s="152"/>
      <c r="C419" s="152"/>
    </row>
    <row r="420" spans="1:3">
      <c r="A420" s="152"/>
      <c r="B420" s="152"/>
      <c r="C420" s="152"/>
    </row>
    <row r="421" spans="1:3">
      <c r="A421" s="152"/>
      <c r="B421" s="152"/>
      <c r="C421" s="152"/>
    </row>
    <row r="422" spans="1:3">
      <c r="A422" s="152"/>
      <c r="B422" s="152"/>
      <c r="C422" s="152"/>
    </row>
    <row r="423" spans="1:3">
      <c r="A423" s="152"/>
      <c r="B423" s="152"/>
      <c r="C423" s="152"/>
    </row>
    <row r="424" spans="1:3">
      <c r="A424" s="152"/>
      <c r="B424" s="152"/>
      <c r="C424" s="152"/>
    </row>
    <row r="425" spans="1:3">
      <c r="A425" s="152"/>
      <c r="B425" s="152"/>
      <c r="C425" s="152"/>
    </row>
    <row r="426" spans="1:3">
      <c r="A426" s="152"/>
      <c r="B426" s="152"/>
      <c r="C426" s="152"/>
    </row>
    <row r="427" spans="1:3">
      <c r="A427" s="152"/>
      <c r="B427" s="152"/>
      <c r="C427" s="152"/>
    </row>
    <row r="428" spans="1:3">
      <c r="A428" s="152"/>
      <c r="B428" s="152"/>
      <c r="C428" s="152"/>
    </row>
    <row r="429" spans="1:3">
      <c r="A429" s="152"/>
      <c r="B429" s="152"/>
      <c r="C429" s="152"/>
    </row>
    <row r="430" spans="1:3">
      <c r="A430" s="152"/>
      <c r="B430" s="152"/>
      <c r="C430" s="152"/>
    </row>
    <row r="431" spans="1:3">
      <c r="A431" s="152"/>
      <c r="B431" s="152"/>
      <c r="C431" s="152"/>
    </row>
    <row r="432" spans="1:3">
      <c r="A432" s="187"/>
    </row>
    <row r="433" spans="1:1">
      <c r="A433" s="187"/>
    </row>
  </sheetData>
  <sheetProtection password="98F7" sheet="1" objects="1" scenarios="1"/>
  <mergeCells count="26">
    <mergeCell ref="N15:R15"/>
    <mergeCell ref="N16:R16"/>
    <mergeCell ref="C15:I15"/>
    <mergeCell ref="B78:E78"/>
    <mergeCell ref="B64:E64"/>
    <mergeCell ref="B60:E60"/>
    <mergeCell ref="B61:E61"/>
    <mergeCell ref="B62:E62"/>
    <mergeCell ref="B63:E63"/>
    <mergeCell ref="B57:E57"/>
    <mergeCell ref="B59:E59"/>
    <mergeCell ref="B76:E76"/>
    <mergeCell ref="B77:E77"/>
    <mergeCell ref="B54:E54"/>
    <mergeCell ref="B55:E55"/>
    <mergeCell ref="B56:E56"/>
    <mergeCell ref="AL37:AO37"/>
    <mergeCell ref="AL42:AO42"/>
    <mergeCell ref="AC174:AF174"/>
    <mergeCell ref="AL46:AO46"/>
    <mergeCell ref="AL51:AO51"/>
    <mergeCell ref="AL54:AO54"/>
    <mergeCell ref="AL59:AO59"/>
    <mergeCell ref="AL63:AO63"/>
    <mergeCell ref="AL75:AO75"/>
    <mergeCell ref="AL79:AO79"/>
  </mergeCells>
  <phoneticPr fontId="16" type="noConversion"/>
  <conditionalFormatting sqref="D210">
    <cfRule type="expression" dxfId="24" priority="1" stopIfTrue="1">
      <formula>L210=0</formula>
    </cfRule>
  </conditionalFormatting>
  <conditionalFormatting sqref="K104:K112">
    <cfRule type="cellIs" dxfId="23" priority="2" stopIfTrue="1" operator="greaterThan">
      <formula>$X104</formula>
    </cfRule>
  </conditionalFormatting>
  <conditionalFormatting sqref="J41">
    <cfRule type="expression" dxfId="22" priority="3" stopIfTrue="1">
      <formula>OR(AND($H$41&lt;0,$G$41&lt;ABS(H41)),I41&gt;365)</formula>
    </cfRule>
  </conditionalFormatting>
  <conditionalFormatting sqref="J71:J78 J59:J64 J42:J44 K71:K74 J46:J57">
    <cfRule type="expression" dxfId="21" priority="4" stopIfTrue="1">
      <formula>OR(AND($H42&lt;0,$G42&lt;ABS(H42)),I42&gt;365)</formula>
    </cfRule>
  </conditionalFormatting>
  <conditionalFormatting sqref="J45">
    <cfRule type="expression" dxfId="20" priority="5" stopIfTrue="1">
      <formula>I45&gt;365</formula>
    </cfRule>
  </conditionalFormatting>
  <conditionalFormatting sqref="K156">
    <cfRule type="expression" dxfId="19" priority="6" stopIfTrue="1">
      <formula>V156=0</formula>
    </cfRule>
  </conditionalFormatting>
  <conditionalFormatting sqref="K210">
    <cfRule type="expression" dxfId="18" priority="7" stopIfTrue="1">
      <formula>$K$174+$I$174&lt;$K$210</formula>
    </cfRule>
  </conditionalFormatting>
  <conditionalFormatting sqref="E213">
    <cfRule type="expression" dxfId="17" priority="8" stopIfTrue="1">
      <formula>OR(AND($U$11=1,$W$172="ok"),AND($U$11=2,$X$172="ok"))</formula>
    </cfRule>
    <cfRule type="expression" dxfId="16" priority="9" stopIfTrue="1">
      <formula>OR(AND($U$11=1,$W$172="nein"),AND($U$11=2,$X$172="nein"))</formula>
    </cfRule>
  </conditionalFormatting>
  <conditionalFormatting sqref="E214">
    <cfRule type="expression" dxfId="15" priority="10" stopIfTrue="1">
      <formula>OR(AND($U$11=1,$W$173="ok"),AND($U$11=2,$X$173="ok"))</formula>
    </cfRule>
    <cfRule type="expression" dxfId="14" priority="11" stopIfTrue="1">
      <formula>OR(AND($U$11=1,$W$173="nein"),AND($U$11=2,$X$173="nein"))</formula>
    </cfRule>
  </conditionalFormatting>
  <conditionalFormatting sqref="E215">
    <cfRule type="expression" dxfId="13" priority="12" stopIfTrue="1">
      <formula>OR(AND($U$11=1,$W$174="ok"),AND($U$11=2,$X$174="ok"))</formula>
    </cfRule>
    <cfRule type="expression" dxfId="12" priority="13" stopIfTrue="1">
      <formula>OR(AND($U$11=1,$W$174="nein"),AND($U$11=2,$X$174="nein"))</formula>
    </cfRule>
  </conditionalFormatting>
  <conditionalFormatting sqref="M177:M179">
    <cfRule type="expression" dxfId="11" priority="14" stopIfTrue="1">
      <formula>$W$181=1</formula>
    </cfRule>
    <cfRule type="expression" dxfId="10" priority="15" stopIfTrue="1">
      <formula>$W$181=2</formula>
    </cfRule>
  </conditionalFormatting>
  <conditionalFormatting sqref="K157">
    <cfRule type="cellIs" dxfId="9" priority="16" stopIfTrue="1" operator="greaterThan">
      <formula>5</formula>
    </cfRule>
  </conditionalFormatting>
  <conditionalFormatting sqref="I174">
    <cfRule type="expression" dxfId="8" priority="17" stopIfTrue="1">
      <formula>OR(AND($U$11=1,$I$174&lt;$W$162),AND($U$11=2,$I$174&lt;$X$162))</formula>
    </cfRule>
  </conditionalFormatting>
  <conditionalFormatting sqref="M174">
    <cfRule type="expression" dxfId="7" priority="18" stopIfTrue="1">
      <formula>OR(AND($U$11=1,$W$174="nein"),AND($U$11=2,$X$174="nein"))</formula>
    </cfRule>
  </conditionalFormatting>
  <conditionalFormatting sqref="K174">
    <cfRule type="expression" dxfId="6" priority="19" stopIfTrue="1">
      <formula>OR(AND($U$11=1,$W$173="nein"),AND($U$11=2,$X$173="nein"))</formula>
    </cfRule>
  </conditionalFormatting>
  <conditionalFormatting sqref="AI167:AK168">
    <cfRule type="expression" dxfId="5" priority="20" stopIfTrue="1">
      <formula>$U$11=""</formula>
    </cfRule>
  </conditionalFormatting>
  <conditionalFormatting sqref="L112">
    <cfRule type="expression" dxfId="4" priority="21" stopIfTrue="1">
      <formula>AND(ROUND($L$112,0)&lt;&gt;0,$J$112="")</formula>
    </cfRule>
  </conditionalFormatting>
  <conditionalFormatting sqref="R177:R179">
    <cfRule type="expression" dxfId="3" priority="22" stopIfTrue="1">
      <formula>$W$183=1</formula>
    </cfRule>
    <cfRule type="expression" dxfId="2" priority="23" stopIfTrue="1">
      <formula>$W$183=2</formula>
    </cfRule>
  </conditionalFormatting>
  <dataValidations count="9">
    <dataValidation type="list" allowBlank="1" showInputMessage="1" showErrorMessage="1" sqref="N16">
      <formula1>$AA$8:$AA$13</formula1>
    </dataValidation>
    <dataValidation type="list" allowBlank="1" showInputMessage="1" showErrorMessage="1" sqref="N15">
      <formula1>$X$8:$X$11</formula1>
    </dataValidation>
    <dataValidation type="list" allowBlank="1" showInputMessage="1" showErrorMessage="1" sqref="H143 H138 H136">
      <formula1>$V$126:$V$128</formula1>
    </dataValidation>
    <dataValidation type="list" allowBlank="1" showInputMessage="1" showErrorMessage="1" sqref="H137 H126:H135">
      <formula1>$V$124:$V$126</formula1>
    </dataValidation>
    <dataValidation type="list" allowBlank="1" showInputMessage="1" showErrorMessage="1" sqref="M33:M34">
      <formula1>$U$14:$U$16</formula1>
    </dataValidation>
    <dataValidation type="list" allowBlank="1" showInputMessage="1" showErrorMessage="1" sqref="B54:E57">
      <formula1>$A$271:$A$276</formula1>
    </dataValidation>
    <dataValidation type="list" allowBlank="1" showInputMessage="1" showErrorMessage="1" sqref="B61:E65">
      <formula1>$A$279:$A$297</formula1>
    </dataValidation>
    <dataValidation type="list" allowBlank="1" showInputMessage="1" showErrorMessage="1" sqref="B76:E78">
      <formula1>$A$305:$A$311</formula1>
    </dataValidation>
    <dataValidation type="list" allowBlank="1" showInputMessage="1" showErrorMessage="1" sqref="C15">
      <formula1>$U$8:$U$10</formula1>
    </dataValidation>
  </dataValidations>
  <pageMargins left="0.71" right="0.19" top="0.61" bottom="0.52" header="0.23" footer="0.28000000000000003"/>
  <pageSetup paperSize="9" scale="53" fitToHeight="2" orientation="portrait" r:id="rId1"/>
  <headerFooter alignWithMargins="0">
    <oddFooter>&amp;L&amp;"Arial,Fett"&amp;11© AGRIDEA, BLW&amp;"Arial,Standard"&amp;10  &amp;9GMF / PLVH / PLCSI Version 1.5&amp;C&amp;9&amp;F&amp;R&amp;9&amp;P</oddFooter>
  </headerFooter>
  <rowBreaks count="1" manualBreakCount="1">
    <brk id="92" min="1" max="18" man="1"/>
  </rowBreaks>
  <colBreaks count="1" manualBreakCount="1">
    <brk id="19" min="1" max="18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autoPageBreaks="0"/>
  </sheetPr>
  <dimension ref="A1:Q56"/>
  <sheetViews>
    <sheetView showGridLines="0" zoomScaleNormal="100" workbookViewId="0"/>
  </sheetViews>
  <sheetFormatPr defaultColWidth="12.5703125" defaultRowHeight="12.75"/>
  <cols>
    <col min="1" max="1" width="2.28515625" style="1" customWidth="1"/>
    <col min="2" max="2" width="46.5703125" style="1" customWidth="1"/>
    <col min="3" max="3" width="7.7109375" style="1" customWidth="1"/>
    <col min="4" max="4" width="7.5703125" style="1" customWidth="1"/>
    <col min="5" max="5" width="8" style="1" customWidth="1"/>
    <col min="6" max="6" width="11.140625" style="14" customWidth="1"/>
    <col min="7" max="7" width="29.5703125" style="1" customWidth="1"/>
    <col min="8" max="16384" width="12.5703125" style="1"/>
  </cols>
  <sheetData>
    <row r="1" spans="1:17" ht="6.95" customHeight="1">
      <c r="B1" s="13"/>
      <c r="C1" s="13"/>
      <c r="D1" s="13"/>
      <c r="E1" s="13"/>
      <c r="F1" s="73"/>
    </row>
    <row r="2" spans="1:17" ht="23.25">
      <c r="A2" s="15"/>
      <c r="B2" s="123" t="str">
        <f>Texte!A347</f>
        <v>Norme animali</v>
      </c>
      <c r="C2" s="123"/>
      <c r="D2" s="123"/>
      <c r="E2" s="123"/>
      <c r="F2" s="123"/>
    </row>
    <row r="3" spans="1:17" ht="23.25">
      <c r="A3" s="15"/>
      <c r="B3" s="15"/>
      <c r="C3" s="16"/>
      <c r="D3" s="15"/>
      <c r="E3" s="15"/>
      <c r="F3" s="74"/>
    </row>
    <row r="4" spans="1:17" ht="14.45" customHeight="1">
      <c r="A4" s="17"/>
      <c r="B4" s="18"/>
      <c r="C4" s="19"/>
      <c r="D4" s="695" t="str">
        <f>Texte!A350</f>
        <v>Consumo</v>
      </c>
      <c r="E4" s="696"/>
      <c r="F4" s="114" t="str">
        <f>Texte!A354</f>
        <v>UBG</v>
      </c>
    </row>
    <row r="5" spans="1:17" ht="14.45" customHeight="1">
      <c r="A5" s="20"/>
      <c r="B5" s="21"/>
      <c r="C5" s="22"/>
      <c r="D5" s="697" t="str">
        <f>Texte!A351</f>
        <v>di foraggio</v>
      </c>
      <c r="E5" s="698"/>
      <c r="F5" s="115" t="str">
        <f>Texte!A355</f>
        <v>Coefficienti</v>
      </c>
      <c r="G5" s="141" t="s">
        <v>645</v>
      </c>
      <c r="H5" s="141" t="s">
        <v>646</v>
      </c>
      <c r="I5" s="141"/>
    </row>
    <row r="6" spans="1:17" ht="13.5" customHeight="1">
      <c r="A6" s="17"/>
      <c r="B6" s="23" t="str">
        <f>Texte!A348</f>
        <v>Categoria animale</v>
      </c>
      <c r="C6" s="24" t="str">
        <f>Texte!A349</f>
        <v>Unità</v>
      </c>
      <c r="D6" s="25" t="str">
        <f>Texte!A352</f>
        <v>SS/giorno</v>
      </c>
      <c r="E6" s="26" t="str">
        <f>Texte!A353</f>
        <v>SS/anno</v>
      </c>
      <c r="F6" s="113"/>
      <c r="G6" s="141"/>
      <c r="H6" s="141"/>
      <c r="I6" s="141"/>
    </row>
    <row r="7" spans="1:17" ht="23.25">
      <c r="A7" s="20"/>
      <c r="B7" s="27"/>
      <c r="C7" s="28"/>
      <c r="D7" s="29" t="s">
        <v>480</v>
      </c>
      <c r="E7" s="30" t="s">
        <v>635</v>
      </c>
      <c r="F7" s="113"/>
      <c r="G7" s="141"/>
      <c r="H7" s="141"/>
      <c r="I7" s="141"/>
    </row>
    <row r="8" spans="1:17">
      <c r="B8" s="31" t="str">
        <f>Texte!A124</f>
        <v>Vacche da latte</v>
      </c>
      <c r="C8" s="32" t="str">
        <f>Texte!A358</f>
        <v>1 capo</v>
      </c>
      <c r="D8" s="112">
        <v>15.9</v>
      </c>
      <c r="E8" s="677">
        <v>58</v>
      </c>
      <c r="F8" s="116">
        <v>1</v>
      </c>
      <c r="G8" s="141"/>
      <c r="H8" s="141"/>
      <c r="I8" s="141"/>
      <c r="J8" s="46"/>
      <c r="K8" s="46"/>
      <c r="L8" s="46"/>
      <c r="M8" s="45"/>
      <c r="N8" s="45"/>
      <c r="O8" s="45"/>
      <c r="P8" s="45"/>
      <c r="Q8" s="45"/>
    </row>
    <row r="9" spans="1:17">
      <c r="B9" s="33" t="str">
        <f>Texte!A125</f>
        <v>Altre vacche</v>
      </c>
      <c r="C9" s="35" t="str">
        <f>Texte!A358</f>
        <v>1 capo</v>
      </c>
      <c r="D9" s="34">
        <v>15.9</v>
      </c>
      <c r="E9" s="39">
        <v>58</v>
      </c>
      <c r="F9" s="117">
        <v>1</v>
      </c>
      <c r="G9" s="141"/>
      <c r="H9" s="141"/>
      <c r="I9" s="141"/>
      <c r="J9" s="46"/>
      <c r="K9" s="46"/>
      <c r="L9" s="46"/>
      <c r="M9" s="45"/>
      <c r="N9" s="45"/>
      <c r="O9" s="45"/>
      <c r="P9" s="45"/>
      <c r="Q9" s="45"/>
    </row>
    <row r="10" spans="1:17">
      <c r="B10" s="33" t="str">
        <f>Texte!A126</f>
        <v>Vacche madri pesanti (700-800 kg)</v>
      </c>
      <c r="C10" s="35" t="str">
        <f>Texte!A358</f>
        <v>1 capo</v>
      </c>
      <c r="D10" s="34">
        <v>13.7</v>
      </c>
      <c r="E10" s="39">
        <v>50</v>
      </c>
      <c r="F10" s="117">
        <v>1</v>
      </c>
      <c r="G10" s="141"/>
      <c r="H10" s="141"/>
      <c r="I10" s="141"/>
      <c r="J10" s="46"/>
      <c r="K10" s="46"/>
      <c r="L10" s="46"/>
      <c r="M10" s="45"/>
      <c r="N10" s="45"/>
      <c r="O10" s="45"/>
      <c r="P10" s="45"/>
      <c r="Q10" s="45"/>
    </row>
    <row r="11" spans="1:17">
      <c r="B11" s="33" t="str">
        <f>Texte!A127</f>
        <v>Vacche madri mezze (600-700 kg)</v>
      </c>
      <c r="C11" s="35" t="str">
        <f>Texte!A358</f>
        <v>1 capo</v>
      </c>
      <c r="D11" s="34">
        <v>12.3</v>
      </c>
      <c r="E11" s="39">
        <v>45</v>
      </c>
      <c r="F11" s="117">
        <v>1</v>
      </c>
      <c r="G11" s="141"/>
      <c r="H11" s="141"/>
      <c r="I11" s="141"/>
      <c r="J11" s="46"/>
      <c r="K11" s="46"/>
      <c r="L11" s="46"/>
      <c r="M11" s="45"/>
      <c r="N11" s="45"/>
      <c r="O11" s="45"/>
      <c r="P11" s="45"/>
      <c r="Q11" s="45"/>
    </row>
    <row r="12" spans="1:17">
      <c r="B12" s="36" t="str">
        <f>Texte!A128</f>
        <v>Vacche madri leggere (&lt;600 kg)</v>
      </c>
      <c r="C12" s="38" t="str">
        <f>Texte!A358</f>
        <v>1 capo</v>
      </c>
      <c r="D12" s="37">
        <v>10.4</v>
      </c>
      <c r="E12" s="40">
        <v>38</v>
      </c>
      <c r="F12" s="117">
        <v>1</v>
      </c>
      <c r="G12" s="141"/>
      <c r="H12" s="141"/>
      <c r="I12" s="141"/>
      <c r="J12" s="46"/>
      <c r="K12" s="46"/>
      <c r="L12" s="46"/>
      <c r="M12" s="45"/>
      <c r="N12" s="45"/>
      <c r="O12" s="45"/>
      <c r="P12" s="45"/>
      <c r="Q12" s="45"/>
    </row>
    <row r="13" spans="1:17">
      <c r="B13" s="33" t="str">
        <f>Texte!A129</f>
        <v>Bestiame giovane, 0-1 anno</v>
      </c>
      <c r="C13" s="63" t="str">
        <f>Texte!A358</f>
        <v>1 capo</v>
      </c>
      <c r="D13" s="34">
        <v>3.8</v>
      </c>
      <c r="E13" s="39">
        <v>14</v>
      </c>
      <c r="F13" s="119">
        <f>(160*0.13+205*0.33)/365</f>
        <v>0.24232876712328769</v>
      </c>
      <c r="G13" s="141" t="s">
        <v>644</v>
      </c>
      <c r="H13" s="141" t="s">
        <v>449</v>
      </c>
      <c r="I13" s="141"/>
      <c r="J13" s="45"/>
      <c r="K13" s="45"/>
      <c r="L13" s="45"/>
      <c r="M13" s="45"/>
      <c r="N13" s="45"/>
      <c r="O13" s="45"/>
      <c r="P13" s="45"/>
      <c r="Q13" s="45"/>
    </row>
    <row r="14" spans="1:17">
      <c r="B14" s="33" t="str">
        <f>Texte!A130</f>
        <v>Bestiame giovane, 1-2 anni</v>
      </c>
      <c r="C14" s="63" t="str">
        <f>Texte!A358</f>
        <v>1 capo</v>
      </c>
      <c r="D14" s="34">
        <v>7.1</v>
      </c>
      <c r="E14" s="39">
        <v>26</v>
      </c>
      <c r="F14" s="117">
        <v>0.4</v>
      </c>
      <c r="G14" s="141"/>
      <c r="H14" s="141"/>
      <c r="I14" s="141"/>
      <c r="J14" s="45"/>
      <c r="K14" s="45"/>
      <c r="L14" s="45"/>
      <c r="M14" s="45"/>
      <c r="N14" s="45"/>
      <c r="O14" s="45"/>
      <c r="P14" s="45"/>
      <c r="Q14" s="45"/>
    </row>
    <row r="15" spans="1:17">
      <c r="B15" s="36" t="str">
        <f>Texte!A131</f>
        <v>Manzi &gt;2 anni</v>
      </c>
      <c r="C15" s="38" t="str">
        <f>Texte!A359</f>
        <v>1 posta</v>
      </c>
      <c r="D15" s="37">
        <v>9</v>
      </c>
      <c r="E15" s="40">
        <v>33</v>
      </c>
      <c r="F15" s="117">
        <v>0.6</v>
      </c>
      <c r="G15" s="141"/>
      <c r="H15" s="141"/>
      <c r="I15" s="141"/>
      <c r="J15" s="45"/>
      <c r="K15" s="45"/>
      <c r="L15" s="45"/>
      <c r="M15" s="45"/>
      <c r="N15" s="45"/>
      <c r="O15" s="45"/>
      <c r="P15" s="45"/>
      <c r="Q15" s="45"/>
    </row>
    <row r="16" spans="1:17">
      <c r="B16" s="33" t="str">
        <f>Texte!A132</f>
        <v>Vitelli da ingrasso (50-200 kg)</v>
      </c>
      <c r="C16" s="63" t="str">
        <f>Texte!A359</f>
        <v>1 posta</v>
      </c>
      <c r="D16" s="34">
        <v>0.3</v>
      </c>
      <c r="E16" s="39">
        <v>1.2</v>
      </c>
      <c r="F16" s="119">
        <v>0.1</v>
      </c>
      <c r="G16" s="141"/>
      <c r="H16" s="141"/>
      <c r="I16" s="141"/>
      <c r="J16" s="45"/>
      <c r="K16" s="45"/>
      <c r="L16" s="45"/>
      <c r="M16" s="45"/>
      <c r="N16" s="45"/>
      <c r="O16" s="45"/>
      <c r="P16" s="45"/>
      <c r="Q16" s="45"/>
    </row>
    <row r="17" spans="2:17">
      <c r="B17" s="33" t="str">
        <f>Texte!A133</f>
        <v>Vitelli di vacche madri leggeri, circa 350 kg</v>
      </c>
      <c r="C17" s="63" t="str">
        <f>Texte!A359</f>
        <v>1 posta</v>
      </c>
      <c r="D17" s="34">
        <v>3.6</v>
      </c>
      <c r="E17" s="39">
        <v>13.2</v>
      </c>
      <c r="F17" s="117">
        <f>(160*0.13+140*0.33)/300</f>
        <v>0.22333333333333333</v>
      </c>
      <c r="G17" s="141" t="s">
        <v>647</v>
      </c>
      <c r="H17" s="141" t="s">
        <v>450</v>
      </c>
      <c r="I17" s="141"/>
      <c r="J17" s="45"/>
      <c r="K17" s="45"/>
      <c r="L17" s="45"/>
      <c r="M17" s="45"/>
      <c r="N17" s="45"/>
      <c r="O17" s="45"/>
      <c r="P17" s="45"/>
      <c r="Q17" s="45"/>
    </row>
    <row r="18" spans="2:17">
      <c r="B18" s="36" t="str">
        <f>Texte!A134</f>
        <v>Vitelli di vacche madri pesanti, circa 400 kg</v>
      </c>
      <c r="C18" s="38" t="str">
        <f>Texte!A359</f>
        <v>1 posta</v>
      </c>
      <c r="D18" s="37">
        <v>5.3</v>
      </c>
      <c r="E18" s="40">
        <v>19.2</v>
      </c>
      <c r="F18" s="117">
        <f>(160*0.13+140*0.33)/300</f>
        <v>0.22333333333333333</v>
      </c>
      <c r="G18" s="141" t="s">
        <v>647</v>
      </c>
      <c r="H18" s="141" t="s">
        <v>450</v>
      </c>
      <c r="I18" s="141"/>
      <c r="J18" s="45"/>
      <c r="K18" s="45"/>
      <c r="L18" s="45"/>
      <c r="M18" s="45"/>
      <c r="N18" s="45"/>
      <c r="O18" s="45"/>
      <c r="P18" s="45"/>
      <c r="Q18" s="45"/>
    </row>
    <row r="19" spans="2:17">
      <c r="B19" s="33" t="str">
        <f>Texte!A135</f>
        <v>Bovini da ingrasso, intensivo, 65-520 kg</v>
      </c>
      <c r="C19" s="63" t="s">
        <v>539</v>
      </c>
      <c r="D19" s="669">
        <v>3.8</v>
      </c>
      <c r="E19" s="678">
        <v>14</v>
      </c>
      <c r="F19" s="675">
        <v>0.28112500000000001</v>
      </c>
      <c r="G19" s="435" t="s">
        <v>1271</v>
      </c>
      <c r="H19" s="142" t="s">
        <v>1272</v>
      </c>
      <c r="I19" s="141"/>
      <c r="J19" s="45"/>
      <c r="K19" s="45"/>
      <c r="L19" s="45"/>
      <c r="M19" s="45"/>
      <c r="N19" s="45"/>
      <c r="O19" s="45"/>
      <c r="P19" s="45"/>
      <c r="Q19" s="45"/>
    </row>
    <row r="20" spans="2:17">
      <c r="B20" s="33" t="str">
        <f>Texte!A136</f>
        <v>Bovini da ingrasso, svezzamento &lt; 4 mesi</v>
      </c>
      <c r="C20" s="63" t="s">
        <v>539</v>
      </c>
      <c r="D20" s="669">
        <v>0.4</v>
      </c>
      <c r="E20" s="678">
        <v>1.5</v>
      </c>
      <c r="F20" s="676">
        <v>0.13</v>
      </c>
      <c r="G20" s="141">
        <v>0.13</v>
      </c>
      <c r="H20" s="141">
        <v>0.1</v>
      </c>
      <c r="I20" s="141"/>
      <c r="J20" s="45"/>
      <c r="K20" s="45"/>
      <c r="L20" s="45"/>
      <c r="M20" s="45"/>
      <c r="N20" s="45"/>
      <c r="O20" s="45"/>
      <c r="P20" s="45"/>
      <c r="Q20" s="45"/>
    </row>
    <row r="21" spans="2:17">
      <c r="B21" s="33" t="str">
        <f>Texte!A137</f>
        <v>Bovini da ingrasso, intensivo &gt; 4 mesi</v>
      </c>
      <c r="C21" s="63" t="s">
        <v>539</v>
      </c>
      <c r="D21" s="669">
        <v>4.7</v>
      </c>
      <c r="E21" s="678">
        <v>17</v>
      </c>
      <c r="F21" s="676">
        <v>0.26534246575342468</v>
      </c>
      <c r="G21" s="141" t="s">
        <v>648</v>
      </c>
      <c r="H21" s="141" t="s">
        <v>452</v>
      </c>
      <c r="I21" s="141"/>
      <c r="J21" s="45"/>
      <c r="K21" s="45"/>
      <c r="L21" s="45"/>
      <c r="M21" s="45"/>
      <c r="N21" s="45"/>
      <c r="O21" s="45"/>
      <c r="P21" s="45"/>
      <c r="Q21" s="45"/>
    </row>
    <row r="22" spans="2:17">
      <c r="B22" s="33" t="str">
        <f>Texte!A138</f>
        <v>Bovini da ingrasso, pascolo &gt; 4 mesi</v>
      </c>
      <c r="C22" s="63" t="s">
        <v>539</v>
      </c>
      <c r="D22" s="669">
        <v>6.6</v>
      </c>
      <c r="E22" s="678">
        <v>24</v>
      </c>
      <c r="F22" s="676">
        <v>0.35877049180327875</v>
      </c>
      <c r="G22" s="141" t="s">
        <v>649</v>
      </c>
      <c r="H22" s="141" t="s">
        <v>451</v>
      </c>
      <c r="I22" s="141"/>
      <c r="J22" s="45"/>
      <c r="K22" s="45"/>
      <c r="L22" s="45"/>
      <c r="M22" s="45"/>
      <c r="N22" s="45"/>
      <c r="O22" s="45"/>
      <c r="P22" s="45"/>
      <c r="Q22" s="45"/>
    </row>
    <row r="23" spans="2:17">
      <c r="B23" s="33" t="str">
        <f>Texte!A139</f>
        <v>Bovini da ingrasso, finissaggio intensivo</v>
      </c>
      <c r="C23" s="63" t="s">
        <v>539</v>
      </c>
      <c r="D23" s="669">
        <v>5.8</v>
      </c>
      <c r="E23" s="678">
        <v>21</v>
      </c>
      <c r="F23" s="676">
        <v>0.23383561643835615</v>
      </c>
      <c r="G23" s="141" t="s">
        <v>1273</v>
      </c>
      <c r="H23" s="141" t="s">
        <v>1274</v>
      </c>
      <c r="I23" s="141"/>
      <c r="J23" s="45"/>
      <c r="K23" s="45"/>
      <c r="L23" s="45"/>
      <c r="M23" s="45"/>
      <c r="N23" s="45"/>
      <c r="O23" s="45"/>
      <c r="P23" s="45"/>
      <c r="Q23" s="45"/>
    </row>
    <row r="24" spans="2:17">
      <c r="B24" s="36" t="str">
        <f>Texte!A140</f>
        <v>Tori da allevamento</v>
      </c>
      <c r="C24" s="38" t="str">
        <f>Texte!A358</f>
        <v>1 capo</v>
      </c>
      <c r="D24" s="37">
        <v>8.1999999999999993</v>
      </c>
      <c r="E24" s="40">
        <v>30</v>
      </c>
      <c r="F24" s="117">
        <v>0.6</v>
      </c>
      <c r="G24" s="141"/>
      <c r="H24" s="141"/>
      <c r="I24" s="141"/>
      <c r="J24" s="45"/>
      <c r="K24" s="45"/>
      <c r="L24" s="45"/>
      <c r="M24" s="45"/>
      <c r="N24" s="45"/>
      <c r="O24" s="45"/>
      <c r="P24" s="45"/>
      <c r="Q24" s="45"/>
    </row>
    <row r="25" spans="2:17">
      <c r="B25" s="33" t="str">
        <f>Texte!A143</f>
        <v>Cavallo &gt; 180 g, &gt; 148cm*</v>
      </c>
      <c r="C25" s="63" t="str">
        <f>Texte!A358</f>
        <v>1 capo</v>
      </c>
      <c r="D25" s="669">
        <v>1.4</v>
      </c>
      <c r="E25" s="678">
        <v>5</v>
      </c>
      <c r="F25" s="119">
        <v>0.3</v>
      </c>
      <c r="G25" s="141"/>
      <c r="H25" s="141"/>
      <c r="I25" s="141"/>
      <c r="J25" s="45"/>
      <c r="K25" s="45"/>
      <c r="L25" s="45"/>
      <c r="M25" s="45"/>
      <c r="N25" s="45"/>
      <c r="O25" s="45"/>
      <c r="P25" s="45"/>
      <c r="Q25" s="45"/>
    </row>
    <row r="26" spans="2:17">
      <c r="B26" s="33" t="str">
        <f>Texte!A144</f>
        <v>Cavallo &lt; 180 g, &gt; 148cm*</v>
      </c>
      <c r="C26" s="63" t="str">
        <f>Texte!A358</f>
        <v>1 capo</v>
      </c>
      <c r="D26" s="669">
        <v>7.7</v>
      </c>
      <c r="E26" s="678">
        <v>28</v>
      </c>
      <c r="F26" s="117">
        <v>0.67</v>
      </c>
      <c r="G26" s="141"/>
      <c r="H26" s="141"/>
      <c r="I26" s="141"/>
    </row>
    <row r="27" spans="2:17">
      <c r="B27" s="33" t="str">
        <f>Texte!A145</f>
        <v>Muli o bardotti &lt; 180 g, indip altezza al garrese</v>
      </c>
      <c r="C27" s="63" t="str">
        <f>Texte!A358</f>
        <v>1 capo</v>
      </c>
      <c r="D27" s="669">
        <v>0.8</v>
      </c>
      <c r="E27" s="678">
        <v>3</v>
      </c>
      <c r="F27" s="117">
        <v>0.3</v>
      </c>
    </row>
    <row r="28" spans="2:17">
      <c r="B28" s="33" t="str">
        <f>Texte!A146</f>
        <v>Muli o bardotti &gt; 180 g, indip altezza al garrese</v>
      </c>
      <c r="C28" s="63" t="str">
        <f>Texte!A359</f>
        <v>1 posta</v>
      </c>
      <c r="D28" s="669">
        <v>4.7</v>
      </c>
      <c r="E28" s="678">
        <v>17</v>
      </c>
      <c r="F28" s="117">
        <v>0.67</v>
      </c>
    </row>
    <row r="29" spans="2:17">
      <c r="B29" s="36" t="str">
        <f>Texte!A147</f>
        <v>Pony**, piccoli cavalli e asini di agni età, &lt; 148 cm</v>
      </c>
      <c r="C29" s="38" t="str">
        <f>Texte!A359</f>
        <v>1 posta</v>
      </c>
      <c r="D29" s="37">
        <v>2.8</v>
      </c>
      <c r="E29" s="40">
        <v>10.4</v>
      </c>
      <c r="F29" s="117">
        <v>0.25</v>
      </c>
    </row>
    <row r="30" spans="2:17">
      <c r="B30" s="33" t="str">
        <f>Texte!A148</f>
        <v>Capra (incl. bestiame giovane e parte del becco)</v>
      </c>
      <c r="C30" s="63" t="str">
        <f>Texte!A359</f>
        <v>1 posta</v>
      </c>
      <c r="D30" s="34">
        <v>1.9</v>
      </c>
      <c r="E30" s="39">
        <v>6.8</v>
      </c>
      <c r="F30" s="119">
        <v>0.17</v>
      </c>
    </row>
    <row r="31" spans="2:17">
      <c r="B31" s="33" t="str">
        <f>Texte!A149</f>
        <v>Pecora (incl. bestiame giovane e parte dell’ariete)</v>
      </c>
      <c r="C31" s="63" t="str">
        <f>Texte!A359</f>
        <v>1 posta</v>
      </c>
      <c r="D31" s="34">
        <v>2.1</v>
      </c>
      <c r="E31" s="39">
        <v>7.6</v>
      </c>
      <c r="F31" s="117">
        <v>0.17</v>
      </c>
    </row>
    <row r="32" spans="2:17">
      <c r="B32" s="33" t="str">
        <f>Texte!A150</f>
        <v>Pecore da latte (incl. bestiame giovane)</v>
      </c>
      <c r="C32" s="63" t="str">
        <f>Texte!A359</f>
        <v>1 posta</v>
      </c>
      <c r="D32" s="34">
        <v>3</v>
      </c>
      <c r="E32" s="39">
        <v>11</v>
      </c>
      <c r="F32" s="117">
        <v>0.25</v>
      </c>
    </row>
    <row r="33" spans="2:6">
      <c r="B33" s="36" t="str">
        <f>Texte!A151</f>
        <v>Agnelli e capretti da ingrasso al pascolo</v>
      </c>
      <c r="C33" s="38" t="str">
        <f>Texte!A359</f>
        <v>1 posta</v>
      </c>
      <c r="D33" s="37">
        <v>0.4</v>
      </c>
      <c r="E33" s="40">
        <v>1.4</v>
      </c>
      <c r="F33" s="117">
        <v>0.03</v>
      </c>
    </row>
    <row r="34" spans="2:6">
      <c r="B34" s="33" t="str">
        <f>Texte!A152</f>
        <v>Daini, incl. bestiame giovane, 1 unità=2 animali</v>
      </c>
      <c r="C34" s="63" t="str">
        <f>Texte!A356</f>
        <v>Unità</v>
      </c>
      <c r="D34" s="34">
        <v>2.7</v>
      </c>
      <c r="E34" s="39">
        <v>10</v>
      </c>
      <c r="F34" s="119">
        <f>2*0.1</f>
        <v>0.2</v>
      </c>
    </row>
    <row r="35" spans="2:6">
      <c r="B35" s="33" t="str">
        <f>Texte!A153</f>
        <v>Cervi, incl. bestiame giovane, 1 unità=2 animali</v>
      </c>
      <c r="C35" s="63" t="str">
        <f>Texte!A356</f>
        <v>Unità</v>
      </c>
      <c r="D35" s="34">
        <v>5.5</v>
      </c>
      <c r="E35" s="39">
        <v>20</v>
      </c>
      <c r="F35" s="117">
        <f>2*0.2</f>
        <v>0.4</v>
      </c>
    </row>
    <row r="36" spans="2:6">
      <c r="B36" s="33" t="str">
        <f>Texte!A154</f>
        <v>Wapiti, incl. bestiame giovane, 1 unità=2 animali</v>
      </c>
      <c r="C36" s="63" t="str">
        <f>Texte!A356</f>
        <v>Unità</v>
      </c>
      <c r="D36" s="34">
        <v>11</v>
      </c>
      <c r="E36" s="39">
        <v>40</v>
      </c>
      <c r="F36" s="117">
        <f>2*0.2</f>
        <v>0.4</v>
      </c>
    </row>
    <row r="37" spans="2:6">
      <c r="B37" s="33" t="str">
        <f>Texte!A155</f>
        <v>Bisonti di oltre 900 giorni</v>
      </c>
      <c r="C37" s="63" t="str">
        <f>Texte!A358</f>
        <v>1 capo</v>
      </c>
      <c r="D37" s="34">
        <v>10.7</v>
      </c>
      <c r="E37" s="39">
        <v>39</v>
      </c>
      <c r="F37" s="117">
        <v>0.8</v>
      </c>
    </row>
    <row r="38" spans="2:6">
      <c r="B38" s="36" t="str">
        <f>Texte!A156</f>
        <v>Bisonti fino a 900 giorni</v>
      </c>
      <c r="C38" s="38" t="str">
        <f>Texte!A358</f>
        <v>1 capo</v>
      </c>
      <c r="D38" s="37">
        <v>4.9000000000000004</v>
      </c>
      <c r="E38" s="40">
        <v>18</v>
      </c>
      <c r="F38" s="117">
        <v>0.4</v>
      </c>
    </row>
    <row r="39" spans="2:6">
      <c r="B39" s="33" t="str">
        <f>Texte!A157</f>
        <v>Lama di oltre 2 anni</v>
      </c>
      <c r="C39" s="63" t="str">
        <f>Texte!A358</f>
        <v>1 capo</v>
      </c>
      <c r="D39" s="34">
        <v>2.2999999999999998</v>
      </c>
      <c r="E39" s="39">
        <v>8.5</v>
      </c>
      <c r="F39" s="119">
        <v>0.17</v>
      </c>
    </row>
    <row r="40" spans="2:6">
      <c r="B40" s="33" t="str">
        <f>Texte!A158</f>
        <v>Lama al di sotto dei 2 anni</v>
      </c>
      <c r="C40" s="63" t="str">
        <f>Texte!A358</f>
        <v>1 capo</v>
      </c>
      <c r="D40" s="34">
        <v>1.3</v>
      </c>
      <c r="E40" s="39">
        <v>4.9000000000000004</v>
      </c>
      <c r="F40" s="117">
        <v>0.11</v>
      </c>
    </row>
    <row r="41" spans="2:6">
      <c r="B41" s="33" t="str">
        <f>Texte!A159</f>
        <v>Alpaca di oltre 2 anni</v>
      </c>
      <c r="C41" s="63" t="str">
        <f>Texte!A358</f>
        <v>1 capo</v>
      </c>
      <c r="D41" s="34">
        <v>1.5</v>
      </c>
      <c r="E41" s="39">
        <v>5.5</v>
      </c>
      <c r="F41" s="117">
        <v>0.11</v>
      </c>
    </row>
    <row r="42" spans="2:6">
      <c r="B42" s="36" t="str">
        <f>Texte!A160</f>
        <v>Alpaca al di sotto dei 2 anni</v>
      </c>
      <c r="C42" s="38" t="str">
        <f>Texte!A358</f>
        <v>1 capo</v>
      </c>
      <c r="D42" s="37">
        <v>0.8</v>
      </c>
      <c r="E42" s="40">
        <v>3</v>
      </c>
      <c r="F42" s="117">
        <v>7.0000000000000007E-2</v>
      </c>
    </row>
    <row r="43" spans="2:6">
      <c r="B43" s="33" t="str">
        <f>Texte!A164</f>
        <v>Coniglie madre incl. animali giovani fino a 35 g.</v>
      </c>
      <c r="C43" s="44" t="str">
        <f>Texte!A358</f>
        <v>1 capo</v>
      </c>
      <c r="D43" s="34">
        <v>0.1</v>
      </c>
      <c r="E43" s="44">
        <v>0.36</v>
      </c>
      <c r="F43" s="119">
        <v>3.4000000000000002E-2</v>
      </c>
    </row>
    <row r="44" spans="2:6">
      <c r="B44" s="33" t="str">
        <f>Texte!A165</f>
        <v>Conigli: animali giovani (da circa 35 g.)</v>
      </c>
      <c r="C44" s="41" t="str">
        <f>Texte!A357</f>
        <v>100 poste</v>
      </c>
      <c r="D44" s="34">
        <v>1.1000000000000001</v>
      </c>
      <c r="E44" s="41">
        <v>4</v>
      </c>
      <c r="F44" s="117">
        <v>1.1000000000000001</v>
      </c>
    </row>
    <row r="45" spans="2:6">
      <c r="B45" s="33" t="str">
        <f>Texte!A166</f>
        <v>Struzzi &gt; 13 mesi</v>
      </c>
      <c r="C45" s="41" t="str">
        <f>Texte!A358</f>
        <v>1 capo</v>
      </c>
      <c r="D45" s="34">
        <v>3</v>
      </c>
      <c r="E45" s="41">
        <v>11</v>
      </c>
      <c r="F45" s="117">
        <v>0.26</v>
      </c>
    </row>
    <row r="46" spans="2:6">
      <c r="B46" s="36" t="str">
        <f>Texte!A167</f>
        <v>Struzzi &lt; 13 mesi</v>
      </c>
      <c r="C46" s="42" t="str">
        <f>Texte!A358</f>
        <v>1 capo</v>
      </c>
      <c r="D46" s="37">
        <v>0.5</v>
      </c>
      <c r="E46" s="42">
        <v>2</v>
      </c>
      <c r="F46" s="117">
        <v>0.14000000000000001</v>
      </c>
    </row>
    <row r="47" spans="2:6">
      <c r="B47" s="33" t="str">
        <f>Texte!A168</f>
        <v>Posta suini da ingrasso / rimonte (25-100 kg)</v>
      </c>
      <c r="C47" s="63" t="str">
        <f>Texte!A359</f>
        <v>1 posta</v>
      </c>
      <c r="D47" s="34"/>
      <c r="E47" s="41"/>
      <c r="F47" s="119">
        <v>0.17</v>
      </c>
    </row>
    <row r="48" spans="2:6">
      <c r="B48" s="36" t="str">
        <f>Texte!A169</f>
        <v>Suini da ingrasso / rimonte (25-100 kg)</v>
      </c>
      <c r="C48" s="38" t="str">
        <f>Texte!A358</f>
        <v>1 capo</v>
      </c>
      <c r="D48" s="37"/>
      <c r="E48" s="42"/>
      <c r="F48" s="117"/>
    </row>
    <row r="49" spans="2:6">
      <c r="B49" s="33" t="str">
        <f>Texte!A170</f>
        <v>Suini da allevamento incl. suinetti 25-30 kg</v>
      </c>
      <c r="C49" s="63" t="str">
        <f>Texte!A359</f>
        <v>1 posta</v>
      </c>
      <c r="D49" s="34"/>
      <c r="E49" s="41">
        <v>0.5</v>
      </c>
      <c r="F49" s="119"/>
    </row>
    <row r="50" spans="2:6">
      <c r="B50" s="33" t="str">
        <f>Texte!A171</f>
        <v>Posta da scrofa in asciutta</v>
      </c>
      <c r="C50" s="63" t="str">
        <f>Texte!A359</f>
        <v>1 posta</v>
      </c>
      <c r="D50" s="34"/>
      <c r="E50" s="41">
        <v>0.5</v>
      </c>
      <c r="F50" s="117">
        <v>0.26</v>
      </c>
    </row>
    <row r="51" spans="2:6">
      <c r="B51" s="33" t="str">
        <f>Texte!A172</f>
        <v>Scrofe in asciutta, per ciclo</v>
      </c>
      <c r="C51" s="63" t="str">
        <f>Texte!A358</f>
        <v>1 capo</v>
      </c>
      <c r="D51" s="34"/>
      <c r="E51" s="41">
        <v>0.5</v>
      </c>
      <c r="F51" s="117"/>
    </row>
    <row r="52" spans="2:6">
      <c r="B52" s="33" t="str">
        <f>Texte!A173</f>
        <v>Scrofe riproduttrici, in lattazione</v>
      </c>
      <c r="C52" s="63" t="str">
        <f>Texte!A359</f>
        <v>1 posta</v>
      </c>
      <c r="D52" s="34"/>
      <c r="E52" s="41">
        <v>0.5</v>
      </c>
      <c r="F52" s="117">
        <v>0.55000000000000004</v>
      </c>
    </row>
    <row r="53" spans="2:6">
      <c r="B53" s="36" t="str">
        <f>Texte!A174</f>
        <v>Scrofe riproduttrici, in lattazione, per ciclo</v>
      </c>
      <c r="C53" s="38" t="str">
        <f>Texte!A358</f>
        <v>1 capo</v>
      </c>
      <c r="D53" s="37" t="s">
        <v>593</v>
      </c>
      <c r="E53" s="41">
        <v>0.5</v>
      </c>
      <c r="F53" s="117"/>
    </row>
    <row r="54" spans="2:6">
      <c r="B54" s="36" t="str">
        <f>Texte!A175</f>
        <v>Verri da allevamento</v>
      </c>
      <c r="C54" s="43" t="str">
        <f>Texte!A358</f>
        <v>1 capo</v>
      </c>
      <c r="D54" s="37"/>
      <c r="E54" s="43">
        <v>0.5</v>
      </c>
      <c r="F54" s="119">
        <v>0.25</v>
      </c>
    </row>
    <row r="55" spans="2:6">
      <c r="B55" s="47" t="str">
        <f>Texte!A176</f>
        <v>Suinetti svezzati fino a 25-30 kg</v>
      </c>
      <c r="C55" s="41" t="str">
        <f>Texte!A359</f>
        <v>1 posta</v>
      </c>
      <c r="D55" s="34"/>
      <c r="E55" s="41"/>
      <c r="F55" s="119">
        <v>0.06</v>
      </c>
    </row>
    <row r="56" spans="2:6">
      <c r="B56" s="120" t="str">
        <f>Texte!A177</f>
        <v>Suinetti svezzati fino a 25-30 kg</v>
      </c>
      <c r="C56" s="121" t="str">
        <f>Texte!A358</f>
        <v>1 capo</v>
      </c>
      <c r="D56" s="122"/>
      <c r="E56" s="121"/>
      <c r="F56" s="118"/>
    </row>
  </sheetData>
  <sheetProtection password="98F7" sheet="1" objects="1" scenarios="1"/>
  <mergeCells count="2">
    <mergeCell ref="D4:E4"/>
    <mergeCell ref="D5:E5"/>
  </mergeCells>
  <phoneticPr fontId="16" type="noConversion"/>
  <pageMargins left="0.78740157499999996" right="0.54" top="0.984251969" bottom="0.984251969" header="0.4921259845" footer="0.4921259845"/>
  <pageSetup paperSize="9" orientation="portrait" r:id="rId1"/>
  <headerFooter alignWithMargins="0">
    <oddFooter>&amp;L&amp;"Arial,Fett"&amp;11© AGRIDEA&amp;"Arial,Standard"&amp;10  &amp;9GMF / HLVP&amp;C&amp;9&amp;F&amp;R&amp;9&amp;P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N71"/>
  <sheetViews>
    <sheetView zoomScaleNormal="100" zoomScaleSheetLayoutView="80" workbookViewId="0"/>
  </sheetViews>
  <sheetFormatPr defaultColWidth="11.42578125" defaultRowHeight="12.75"/>
  <cols>
    <col min="1" max="1" width="1.7109375" style="518" customWidth="1"/>
    <col min="2" max="2" width="18.28515625" style="518" customWidth="1"/>
    <col min="3" max="3" width="7.5703125" style="518" customWidth="1"/>
    <col min="4" max="4" width="5.5703125" style="518" customWidth="1"/>
    <col min="5" max="5" width="3.5703125" style="518" customWidth="1"/>
    <col min="6" max="6" width="6.85546875" style="518" customWidth="1"/>
    <col min="7" max="7" width="4" style="518" customWidth="1"/>
    <col min="8" max="8" width="11.7109375" style="518" customWidth="1"/>
    <col min="9" max="9" width="9.85546875" style="518" customWidth="1"/>
    <col min="10" max="10" width="7.7109375" style="518" customWidth="1"/>
    <col min="11" max="11" width="18.5703125" style="518" customWidth="1"/>
    <col min="12" max="12" width="4.7109375" style="518" customWidth="1"/>
    <col min="13" max="13" width="6.7109375" style="529" customWidth="1"/>
    <col min="14" max="16384" width="11.42578125" style="529"/>
  </cols>
  <sheetData>
    <row r="1" spans="1:14" s="518" customFormat="1" ht="9" customHeight="1"/>
    <row r="2" spans="1:14" s="518" customFormat="1" ht="21" customHeight="1">
      <c r="A2" s="519"/>
      <c r="D2" s="520">
        <f>Texte!A392</f>
        <v>0</v>
      </c>
      <c r="L2" s="432"/>
      <c r="M2" s="432"/>
    </row>
    <row r="3" spans="1:14" s="518" customFormat="1" ht="21" customHeight="1">
      <c r="B3" s="432"/>
      <c r="C3" s="432"/>
      <c r="D3" s="520">
        <f>Texte!A393</f>
        <v>0</v>
      </c>
      <c r="E3" s="432"/>
      <c r="F3" s="432"/>
      <c r="G3" s="432"/>
      <c r="H3" s="432"/>
      <c r="I3" s="432"/>
      <c r="J3" s="432"/>
      <c r="K3" s="432"/>
      <c r="L3" s="432"/>
      <c r="M3" s="432"/>
    </row>
    <row r="4" spans="1:14" s="518" customFormat="1" ht="7.5" customHeight="1" thickBot="1">
      <c r="B4" s="521"/>
      <c r="C4" s="521"/>
      <c r="D4" s="522"/>
      <c r="E4" s="521"/>
      <c r="F4" s="523"/>
      <c r="G4" s="523"/>
      <c r="H4" s="523"/>
      <c r="I4" s="524"/>
      <c r="J4" s="522"/>
      <c r="K4" s="522"/>
      <c r="L4" s="522"/>
      <c r="M4" s="522"/>
    </row>
    <row r="5" spans="1:14" s="518" customFormat="1" ht="3.95" customHeight="1">
      <c r="B5" s="520"/>
      <c r="C5" s="520"/>
      <c r="E5" s="520"/>
      <c r="F5" s="525"/>
      <c r="G5" s="525"/>
      <c r="H5" s="525"/>
      <c r="I5" s="526"/>
      <c r="J5" s="432"/>
    </row>
    <row r="6" spans="1:14">
      <c r="B6" s="527">
        <f>Texte!A394</f>
        <v>0</v>
      </c>
      <c r="D6" s="528"/>
      <c r="M6" s="518"/>
      <c r="N6" s="518"/>
    </row>
    <row r="7" spans="1:14"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432"/>
      <c r="M7" s="432"/>
      <c r="N7" s="518"/>
    </row>
    <row r="8" spans="1:14" ht="15.75">
      <c r="A8" s="130"/>
      <c r="B8" s="530">
        <f>Texte!A395</f>
        <v>0</v>
      </c>
      <c r="C8" s="529"/>
      <c r="D8" s="529"/>
      <c r="E8" s="529"/>
      <c r="F8" s="529"/>
      <c r="G8" s="529"/>
      <c r="H8" s="529"/>
      <c r="I8" s="529"/>
      <c r="J8" s="529"/>
      <c r="K8" s="529"/>
      <c r="L8" s="432"/>
      <c r="M8" s="432"/>
      <c r="N8" s="518"/>
    </row>
    <row r="9" spans="1:14">
      <c r="B9" s="531">
        <f>Texte!A396</f>
        <v>0</v>
      </c>
      <c r="C9" s="529"/>
      <c r="D9" s="529"/>
      <c r="E9" s="529"/>
      <c r="F9" s="529"/>
      <c r="G9" s="529"/>
      <c r="H9" s="529"/>
      <c r="I9" s="529"/>
      <c r="J9" s="529"/>
      <c r="K9" s="529"/>
      <c r="L9" s="432"/>
      <c r="M9" s="432"/>
      <c r="N9" s="518"/>
    </row>
    <row r="10" spans="1:14">
      <c r="A10" s="130"/>
      <c r="B10" s="518">
        <f>Texte!A397</f>
        <v>0</v>
      </c>
      <c r="C10" s="529"/>
      <c r="D10" s="529"/>
      <c r="E10" s="529"/>
      <c r="F10" s="529"/>
      <c r="G10" s="529"/>
      <c r="H10" s="529"/>
      <c r="I10" s="529"/>
      <c r="J10" s="529"/>
      <c r="K10" s="529"/>
    </row>
    <row r="11" spans="1:14">
      <c r="A11" s="130"/>
      <c r="B11" s="529"/>
      <c r="C11" s="529"/>
      <c r="D11" s="529"/>
      <c r="E11" s="529"/>
      <c r="F11" s="529"/>
      <c r="G11" s="529"/>
      <c r="H11" s="529"/>
      <c r="I11" s="529"/>
      <c r="J11" s="529"/>
      <c r="K11" s="529"/>
    </row>
    <row r="12" spans="1:14">
      <c r="A12" s="130"/>
      <c r="B12" s="531">
        <f>Texte!A398</f>
        <v>0</v>
      </c>
      <c r="C12" s="529"/>
      <c r="D12" s="529"/>
      <c r="E12" s="529"/>
      <c r="F12" s="529"/>
      <c r="G12" s="529"/>
      <c r="H12" s="529"/>
      <c r="I12" s="529"/>
      <c r="J12" s="529"/>
      <c r="K12" s="529"/>
    </row>
    <row r="13" spans="1:14">
      <c r="A13" s="130"/>
      <c r="B13" s="531">
        <f>Texte!A399</f>
        <v>0</v>
      </c>
      <c r="C13" s="529"/>
      <c r="D13" s="529"/>
      <c r="E13" s="529"/>
      <c r="F13" s="529"/>
      <c r="G13" s="529"/>
      <c r="H13" s="529"/>
      <c r="I13" s="529"/>
      <c r="J13" s="529"/>
      <c r="K13" s="529"/>
    </row>
    <row r="15" spans="1:14" ht="3.95" customHeight="1"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L15" s="529"/>
    </row>
    <row r="16" spans="1:14" ht="15.75">
      <c r="B16" s="530">
        <f>Texte!A400</f>
        <v>0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</row>
    <row r="17" spans="1:12" ht="15.75">
      <c r="B17" s="530"/>
      <c r="C17" s="529"/>
      <c r="D17" s="529"/>
      <c r="E17" s="529"/>
      <c r="F17" s="529"/>
      <c r="G17" s="529"/>
      <c r="H17" s="529"/>
      <c r="I17" s="529"/>
      <c r="J17" s="529"/>
      <c r="K17" s="529"/>
      <c r="L17" s="529"/>
    </row>
    <row r="18" spans="1:12">
      <c r="B18" s="432">
        <f>Texte!A401</f>
        <v>0</v>
      </c>
      <c r="C18" s="529"/>
      <c r="D18" s="529"/>
      <c r="E18" s="529"/>
      <c r="F18" s="529"/>
      <c r="G18" s="532" t="s">
        <v>106</v>
      </c>
      <c r="H18" s="533" t="str">
        <f>IF('Bilanz-bilan'!E41&lt;&gt;0,'Bilanz-bilan'!E41,"")</f>
        <v/>
      </c>
      <c r="I18" s="531">
        <f>Texte!A412</f>
        <v>0</v>
      </c>
      <c r="J18" s="529"/>
      <c r="K18" s="531"/>
      <c r="L18" s="529"/>
    </row>
    <row r="19" spans="1:12">
      <c r="B19" s="531"/>
      <c r="C19" s="529"/>
      <c r="D19" s="529"/>
      <c r="E19" s="529"/>
      <c r="F19" s="529"/>
      <c r="G19" s="529"/>
      <c r="H19" s="529"/>
      <c r="I19" s="529"/>
      <c r="J19" s="529"/>
      <c r="K19" s="529"/>
      <c r="L19" s="529"/>
    </row>
    <row r="20" spans="1:12">
      <c r="A20" s="529"/>
      <c r="B20" s="432">
        <f>Texte!A402</f>
        <v>0</v>
      </c>
      <c r="C20" s="529"/>
      <c r="D20" s="529"/>
      <c r="E20" s="529"/>
      <c r="F20" s="529"/>
      <c r="G20" s="532" t="s">
        <v>106</v>
      </c>
      <c r="H20" s="534"/>
      <c r="I20" s="531">
        <f>Texte!A412</f>
        <v>0</v>
      </c>
      <c r="J20" s="529"/>
      <c r="K20" s="531"/>
      <c r="L20" s="529"/>
    </row>
    <row r="21" spans="1:12">
      <c r="A21" s="529"/>
      <c r="B21" s="529"/>
      <c r="D21" s="528"/>
    </row>
    <row r="22" spans="1:12">
      <c r="A22" s="529"/>
      <c r="B22" s="432">
        <f>Texte!A403</f>
        <v>0</v>
      </c>
      <c r="D22" s="528"/>
      <c r="H22" s="535" t="str">
        <f>IF('Bilanz-bilan'!E41&lt;&gt;0,'Bilanz-bilan'!G41,"")</f>
        <v/>
      </c>
      <c r="I22" s="518">
        <f>Texte!A413</f>
        <v>0</v>
      </c>
      <c r="K22" s="531"/>
    </row>
    <row r="23" spans="1:12" ht="3.95" customHeight="1">
      <c r="A23" s="529"/>
      <c r="B23" s="529"/>
      <c r="C23" s="529"/>
      <c r="D23" s="529"/>
      <c r="E23" s="529"/>
      <c r="F23" s="529"/>
      <c r="G23" s="529"/>
    </row>
    <row r="24" spans="1:12" ht="15.75">
      <c r="A24" s="529"/>
      <c r="B24" s="530">
        <f>Texte!A404</f>
        <v>0</v>
      </c>
      <c r="D24" s="528"/>
      <c r="E24" s="529"/>
      <c r="F24" s="529"/>
      <c r="G24" s="529"/>
      <c r="H24" s="529"/>
    </row>
    <row r="25" spans="1:12" ht="15.75">
      <c r="A25" s="529"/>
      <c r="B25" s="530"/>
      <c r="D25" s="528"/>
      <c r="E25" s="529"/>
      <c r="F25" s="529"/>
      <c r="G25" s="529"/>
      <c r="H25" s="529"/>
    </row>
    <row r="26" spans="1:12">
      <c r="A26" s="529"/>
      <c r="B26" s="432">
        <f>Texte!A405</f>
        <v>0</v>
      </c>
      <c r="C26" s="529"/>
      <c r="D26" s="529"/>
      <c r="E26" s="529"/>
      <c r="F26" s="529"/>
      <c r="G26" s="529"/>
      <c r="H26" s="536" t="str">
        <f>IF(H20=0,"",(H20-H18)*H22)</f>
        <v/>
      </c>
      <c r="I26" s="518">
        <f>Texte!A414</f>
        <v>0</v>
      </c>
    </row>
    <row r="27" spans="1:12">
      <c r="A27" s="529"/>
      <c r="B27" s="529"/>
      <c r="C27" s="529"/>
      <c r="D27" s="529"/>
      <c r="E27" s="529"/>
      <c r="F27" s="529"/>
      <c r="G27" s="529"/>
      <c r="H27" s="537"/>
      <c r="I27" s="529"/>
      <c r="J27" s="529"/>
      <c r="K27" s="529"/>
    </row>
    <row r="28" spans="1:12">
      <c r="A28" s="529"/>
      <c r="B28" s="531">
        <f>Texte!A406</f>
        <v>0</v>
      </c>
      <c r="C28" s="529"/>
      <c r="D28" s="529"/>
      <c r="G28" s="529"/>
      <c r="H28" s="534"/>
      <c r="I28" s="531">
        <f>Texte!A415</f>
        <v>0</v>
      </c>
      <c r="J28" s="529"/>
      <c r="K28" s="531">
        <f>Texte!A420</f>
        <v>0</v>
      </c>
      <c r="L28" s="529"/>
    </row>
    <row r="29" spans="1:12" ht="3.95" customHeight="1">
      <c r="A29" s="538"/>
      <c r="B29" s="529"/>
      <c r="C29" s="529"/>
      <c r="D29" s="529"/>
      <c r="E29" s="529"/>
      <c r="F29" s="529"/>
      <c r="G29" s="529"/>
      <c r="H29" s="539"/>
      <c r="I29" s="529"/>
      <c r="J29" s="529"/>
      <c r="K29" s="529"/>
    </row>
    <row r="30" spans="1:12" ht="15.75">
      <c r="B30" s="530">
        <f>Texte!A407</f>
        <v>0</v>
      </c>
      <c r="C30" s="529"/>
      <c r="D30" s="529"/>
      <c r="E30" s="529"/>
      <c r="F30" s="529"/>
      <c r="G30" s="529"/>
      <c r="H30" s="539"/>
      <c r="I30" s="529"/>
      <c r="J30" s="540">
        <f>Texte!A421</f>
        <v>0</v>
      </c>
      <c r="K30" s="529"/>
    </row>
    <row r="31" spans="1:12">
      <c r="A31" s="408"/>
      <c r="B31" s="529"/>
      <c r="C31" s="529"/>
      <c r="D31" s="529"/>
      <c r="E31" s="529"/>
      <c r="F31" s="529"/>
      <c r="G31" s="529"/>
      <c r="H31" s="539"/>
      <c r="I31" s="529"/>
      <c r="J31" s="529"/>
      <c r="K31" s="529"/>
    </row>
    <row r="32" spans="1:12">
      <c r="A32" s="408"/>
      <c r="B32" s="432">
        <f>Texte!A408</f>
        <v>0</v>
      </c>
      <c r="C32" s="529"/>
      <c r="D32" s="529"/>
      <c r="E32" s="529"/>
      <c r="F32" s="529"/>
      <c r="G32" s="529"/>
      <c r="H32" s="533" t="str">
        <f>IF('Bilanz-bilan'!E41&lt;&gt;0,H26*J32/100,"")</f>
        <v/>
      </c>
      <c r="I32" s="529">
        <f>Texte!A416</f>
        <v>0</v>
      </c>
      <c r="J32" s="534">
        <v>55</v>
      </c>
      <c r="K32" s="531">
        <f>Texte!A417</f>
        <v>0</v>
      </c>
    </row>
    <row r="33" spans="1:11">
      <c r="A33" s="408"/>
      <c r="B33" s="529"/>
      <c r="C33" s="529"/>
      <c r="D33" s="529"/>
      <c r="E33" s="529"/>
      <c r="F33" s="529"/>
      <c r="G33" s="529"/>
      <c r="H33" s="541"/>
      <c r="I33" s="529"/>
      <c r="J33" s="529"/>
      <c r="K33" s="529"/>
    </row>
    <row r="34" spans="1:11">
      <c r="A34" s="408"/>
      <c r="B34" s="529">
        <f>Texte!A409</f>
        <v>0</v>
      </c>
      <c r="C34" s="529"/>
      <c r="D34" s="529"/>
      <c r="E34" s="529"/>
      <c r="F34" s="529"/>
      <c r="G34" s="529"/>
      <c r="H34" s="533" t="str">
        <f>IF('Bilanz-bilan'!E41&lt;&gt;0,H22*H28*J34/100,"")</f>
        <v/>
      </c>
      <c r="I34" s="529">
        <f>Texte!A416</f>
        <v>0</v>
      </c>
      <c r="J34" s="534">
        <v>65</v>
      </c>
      <c r="K34" s="531">
        <f>Texte!A418</f>
        <v>0</v>
      </c>
    </row>
    <row r="35" spans="1:11">
      <c r="A35" s="408"/>
      <c r="B35" s="529"/>
      <c r="C35" s="529"/>
      <c r="D35" s="529"/>
      <c r="E35" s="529"/>
      <c r="F35" s="529"/>
      <c r="G35" s="529"/>
      <c r="H35" s="541"/>
      <c r="I35" s="529"/>
      <c r="J35" s="529"/>
      <c r="K35" s="529"/>
    </row>
    <row r="36" spans="1:11">
      <c r="A36" s="408"/>
      <c r="B36" s="529">
        <f>Texte!A410</f>
        <v>0</v>
      </c>
      <c r="C36" s="529"/>
      <c r="D36" s="529"/>
      <c r="E36" s="529"/>
      <c r="F36" s="529"/>
      <c r="G36" s="529"/>
      <c r="H36" s="533" t="str">
        <f>IF('Bilanz-bilan'!J114=0,"",J36*'Bilanz-bilan'!J114)</f>
        <v/>
      </c>
      <c r="I36" s="529">
        <f>Texte!A416</f>
        <v>0</v>
      </c>
      <c r="J36" s="534">
        <v>200</v>
      </c>
      <c r="K36" s="529">
        <f>Texte!A419</f>
        <v>0</v>
      </c>
    </row>
    <row r="37" spans="1:11" ht="3.95" customHeight="1" thickBot="1">
      <c r="A37" s="408"/>
      <c r="B37" s="529"/>
      <c r="C37" s="529"/>
      <c r="D37" s="529"/>
      <c r="E37" s="529"/>
      <c r="F37" s="529"/>
      <c r="G37" s="529"/>
      <c r="H37" s="539"/>
      <c r="I37" s="529"/>
      <c r="J37" s="529"/>
      <c r="K37" s="529"/>
    </row>
    <row r="38" spans="1:11" ht="16.5" thickBot="1">
      <c r="A38" s="408"/>
      <c r="B38" s="530">
        <f>Texte!A411</f>
        <v>0</v>
      </c>
      <c r="C38" s="529"/>
      <c r="D38" s="529"/>
      <c r="E38" s="529"/>
      <c r="F38" s="529"/>
      <c r="G38" s="529"/>
      <c r="H38" s="542" t="str">
        <f>IF('Bilanz-bilan'!E41&lt;&gt;0,SUM(H32:H36),"")</f>
        <v/>
      </c>
      <c r="I38" s="529">
        <f>Texte!A416</f>
        <v>0</v>
      </c>
      <c r="J38" s="529"/>
      <c r="K38" s="529"/>
    </row>
    <row r="39" spans="1:11">
      <c r="A39" s="408"/>
      <c r="B39" s="529"/>
      <c r="C39" s="529"/>
      <c r="D39" s="529"/>
      <c r="E39" s="529"/>
      <c r="F39" s="529"/>
      <c r="G39" s="529"/>
      <c r="H39" s="539"/>
      <c r="I39" s="529"/>
      <c r="J39" s="529"/>
      <c r="K39" s="529"/>
    </row>
    <row r="40" spans="1:11">
      <c r="A40" s="130"/>
      <c r="B40" s="543"/>
      <c r="C40" s="529"/>
      <c r="D40" s="529"/>
      <c r="E40" s="529"/>
      <c r="F40" s="529"/>
      <c r="G40" s="529"/>
      <c r="H40" s="529"/>
      <c r="I40" s="529"/>
      <c r="J40" s="529"/>
      <c r="K40" s="529"/>
    </row>
    <row r="41" spans="1:11">
      <c r="A41" s="130"/>
      <c r="B41" s="529"/>
      <c r="C41" s="529"/>
      <c r="D41" s="529"/>
      <c r="E41" s="529"/>
      <c r="F41" s="529"/>
      <c r="G41" s="529"/>
      <c r="H41" s="529"/>
      <c r="I41" s="529"/>
      <c r="J41" s="529"/>
      <c r="K41" s="529"/>
    </row>
    <row r="43" spans="1:11">
      <c r="B43" s="408">
        <f>Texte!A422</f>
        <v>0</v>
      </c>
    </row>
    <row r="44" spans="1:11">
      <c r="B44" s="518">
        <f>Texte!A423</f>
        <v>0</v>
      </c>
    </row>
    <row r="45" spans="1:11">
      <c r="B45" s="518">
        <f>Texte!A424</f>
        <v>0</v>
      </c>
    </row>
    <row r="46" spans="1:11">
      <c r="B46" s="408">
        <f>Texte!A425</f>
        <v>0</v>
      </c>
    </row>
    <row r="47" spans="1:11">
      <c r="A47" s="130"/>
      <c r="B47" s="518">
        <f>Texte!A426</f>
        <v>0</v>
      </c>
      <c r="G47" s="544"/>
      <c r="H47" s="544"/>
      <c r="I47" s="544"/>
    </row>
    <row r="48" spans="1:11">
      <c r="A48" s="130"/>
      <c r="B48" s="518">
        <f>Texte!A427</f>
        <v>0</v>
      </c>
      <c r="G48" s="544"/>
      <c r="H48" s="544"/>
      <c r="I48" s="544"/>
    </row>
    <row r="49" spans="1:9">
      <c r="A49" s="130"/>
      <c r="B49" s="518">
        <f>Texte!A428</f>
        <v>0</v>
      </c>
      <c r="G49" s="544"/>
      <c r="H49" s="544"/>
      <c r="I49" s="544"/>
    </row>
    <row r="50" spans="1:9">
      <c r="A50" s="130"/>
      <c r="G50" s="544"/>
      <c r="H50" s="544"/>
      <c r="I50" s="544"/>
    </row>
    <row r="51" spans="1:9">
      <c r="A51" s="130"/>
      <c r="G51" s="544"/>
      <c r="H51" s="544"/>
      <c r="I51" s="544"/>
    </row>
    <row r="52" spans="1:9">
      <c r="A52" s="130"/>
      <c r="G52" s="544"/>
      <c r="H52" s="544"/>
      <c r="I52" s="544"/>
    </row>
    <row r="53" spans="1:9">
      <c r="A53" s="130"/>
      <c r="G53" s="544"/>
      <c r="H53" s="544"/>
      <c r="I53" s="544"/>
    </row>
    <row r="54" spans="1:9">
      <c r="A54" s="130"/>
      <c r="G54" s="544"/>
      <c r="H54" s="544"/>
      <c r="I54" s="544"/>
    </row>
    <row r="55" spans="1:9">
      <c r="A55" s="130"/>
      <c r="G55" s="544"/>
      <c r="H55" s="544"/>
      <c r="I55" s="544"/>
    </row>
    <row r="56" spans="1:9">
      <c r="A56" s="130"/>
      <c r="G56" s="544"/>
      <c r="H56" s="544"/>
      <c r="I56" s="544"/>
    </row>
    <row r="57" spans="1:9">
      <c r="A57" s="130"/>
      <c r="G57" s="544"/>
      <c r="H57" s="544"/>
      <c r="I57" s="544"/>
    </row>
    <row r="58" spans="1:9">
      <c r="A58" s="130"/>
      <c r="G58" s="544"/>
      <c r="H58" s="544"/>
      <c r="I58" s="544"/>
    </row>
    <row r="59" spans="1:9">
      <c r="A59" s="130"/>
      <c r="G59" s="544"/>
      <c r="H59" s="544"/>
      <c r="I59" s="544"/>
    </row>
    <row r="60" spans="1:9">
      <c r="A60" s="130"/>
      <c r="B60" s="544"/>
      <c r="C60" s="544"/>
      <c r="D60" s="544"/>
      <c r="E60" s="544"/>
      <c r="F60" s="544"/>
      <c r="G60" s="544"/>
      <c r="H60" s="544"/>
      <c r="I60" s="544"/>
    </row>
    <row r="61" spans="1:9">
      <c r="A61" s="130"/>
      <c r="B61" s="544"/>
      <c r="C61" s="544"/>
      <c r="D61" s="544"/>
      <c r="E61" s="544"/>
      <c r="F61" s="544"/>
      <c r="G61" s="544"/>
      <c r="H61" s="544"/>
      <c r="I61" s="544"/>
    </row>
    <row r="62" spans="1:9">
      <c r="A62" s="130"/>
      <c r="B62" s="544"/>
      <c r="C62" s="544"/>
      <c r="D62" s="544"/>
      <c r="E62" s="544"/>
      <c r="F62" s="544"/>
      <c r="G62" s="544"/>
      <c r="H62" s="544"/>
      <c r="I62" s="544"/>
    </row>
    <row r="63" spans="1:9">
      <c r="A63" s="130"/>
      <c r="B63" s="544"/>
      <c r="C63" s="544"/>
      <c r="D63" s="544"/>
      <c r="E63" s="544"/>
      <c r="F63" s="544"/>
      <c r="G63" s="544"/>
      <c r="H63" s="544"/>
      <c r="I63" s="544"/>
    </row>
    <row r="64" spans="1:9">
      <c r="A64" s="130"/>
      <c r="B64" s="544"/>
      <c r="C64" s="544"/>
      <c r="D64" s="544"/>
      <c r="E64" s="544"/>
      <c r="F64" s="544"/>
      <c r="G64" s="544"/>
      <c r="H64" s="544"/>
      <c r="I64" s="544"/>
    </row>
    <row r="65" spans="1:9">
      <c r="A65" s="130"/>
      <c r="B65" s="544"/>
      <c r="C65" s="544"/>
      <c r="D65" s="544"/>
      <c r="E65" s="544"/>
      <c r="F65" s="544"/>
      <c r="G65" s="544"/>
      <c r="H65" s="544"/>
      <c r="I65" s="544"/>
    </row>
    <row r="66" spans="1:9">
      <c r="A66" s="130"/>
      <c r="B66" s="544"/>
      <c r="C66" s="544"/>
      <c r="D66" s="544"/>
      <c r="E66" s="544"/>
      <c r="F66" s="544"/>
      <c r="G66" s="544"/>
      <c r="H66" s="544"/>
      <c r="I66" s="544"/>
    </row>
    <row r="67" spans="1:9">
      <c r="A67" s="130"/>
      <c r="B67" s="544"/>
      <c r="C67" s="544"/>
      <c r="D67" s="544"/>
      <c r="E67" s="544"/>
      <c r="F67" s="544"/>
      <c r="G67" s="544"/>
      <c r="H67" s="544"/>
      <c r="I67" s="544"/>
    </row>
    <row r="68" spans="1:9">
      <c r="A68" s="130"/>
      <c r="B68" s="544"/>
      <c r="C68" s="544"/>
      <c r="D68" s="544"/>
      <c r="E68" s="544"/>
      <c r="F68" s="544"/>
      <c r="G68" s="544"/>
      <c r="H68" s="544"/>
      <c r="I68" s="544"/>
    </row>
    <row r="69" spans="1:9">
      <c r="A69" s="130"/>
      <c r="B69" s="544"/>
      <c r="C69" s="544"/>
      <c r="D69" s="544"/>
      <c r="E69" s="544"/>
      <c r="F69" s="544"/>
      <c r="G69" s="544"/>
      <c r="H69" s="544"/>
      <c r="I69" s="544"/>
    </row>
    <row r="70" spans="1:9">
      <c r="A70" s="130"/>
      <c r="B70" s="544"/>
      <c r="C70" s="544"/>
      <c r="D70" s="544"/>
      <c r="E70" s="544"/>
      <c r="F70" s="544"/>
      <c r="G70" s="544"/>
      <c r="H70" s="544"/>
      <c r="I70" s="544"/>
    </row>
    <row r="71" spans="1:9">
      <c r="A71" s="130"/>
      <c r="B71" s="544"/>
      <c r="C71" s="544"/>
      <c r="D71" s="544"/>
      <c r="E71" s="544"/>
      <c r="F71" s="544"/>
      <c r="G71" s="544"/>
      <c r="H71" s="544"/>
      <c r="I71" s="544"/>
    </row>
  </sheetData>
  <sheetProtection password="98F7" sheet="1" objects="1" scenarios="1"/>
  <phoneticPr fontId="0" type="noConversion"/>
  <pageMargins left="0.78740157499999996" right="0.54" top="0.61" bottom="0.52" header="0.23" footer="0.28000000000000003"/>
  <pageSetup paperSize="9" scale="83" orientation="portrait" r:id="rId1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IV428"/>
  <sheetViews>
    <sheetView zoomScaleNormal="100" workbookViewId="0"/>
  </sheetViews>
  <sheetFormatPr defaultColWidth="42.140625" defaultRowHeight="12.75"/>
  <cols>
    <col min="1" max="1" width="43.28515625" style="6" customWidth="1"/>
    <col min="2" max="2" width="42.140625" style="6" customWidth="1"/>
    <col min="3" max="3" width="43.42578125" style="6" customWidth="1"/>
    <col min="4" max="16384" width="42.140625" style="6"/>
  </cols>
  <sheetData>
    <row r="1" spans="1:4">
      <c r="A1" s="6" t="s">
        <v>429</v>
      </c>
    </row>
    <row r="2" spans="1:4">
      <c r="A2" s="105">
        <f>VLOOKUP(README!C9,README!N9:O11,2)</f>
        <v>3</v>
      </c>
    </row>
    <row r="3" spans="1:4">
      <c r="B3" s="103" t="s">
        <v>430</v>
      </c>
      <c r="C3" s="103" t="s">
        <v>431</v>
      </c>
      <c r="D3" s="103" t="s">
        <v>432</v>
      </c>
    </row>
    <row r="4" spans="1:4" s="103" customFormat="1">
      <c r="A4" s="103" t="str">
        <f>IF($A$2=1,B4,IF($A$2=2,C4,IF($A$2=3,D4,"")))</f>
        <v>Guida</v>
      </c>
      <c r="B4" s="103" t="s">
        <v>345</v>
      </c>
      <c r="C4" s="103" t="s">
        <v>416</v>
      </c>
      <c r="D4" s="441" t="s">
        <v>792</v>
      </c>
    </row>
    <row r="5" spans="1:4">
      <c r="A5" s="104" t="str">
        <f t="shared" ref="A5:A70" si="0">IF($A$2=1,B5,IF($A$2=2,C5,IF($A$2=3,D5,"")))</f>
        <v>PLCSI</v>
      </c>
      <c r="B5" s="6" t="s">
        <v>594</v>
      </c>
      <c r="C5" s="6" t="s">
        <v>524</v>
      </c>
      <c r="D5" s="442" t="s">
        <v>793</v>
      </c>
    </row>
    <row r="6" spans="1:4">
      <c r="A6" s="104" t="str">
        <f t="shared" si="0"/>
        <v>Versione: 1.5</v>
      </c>
      <c r="B6" s="104" t="s">
        <v>296</v>
      </c>
      <c r="C6" s="104" t="s">
        <v>297</v>
      </c>
      <c r="D6" s="442" t="s">
        <v>298</v>
      </c>
    </row>
    <row r="7" spans="1:4">
      <c r="A7" s="104" t="str">
        <f t="shared" si="0"/>
        <v>rispettivo Suisse-Bilanz Versione 1.14</v>
      </c>
      <c r="B7" s="104" t="s">
        <v>299</v>
      </c>
      <c r="C7" s="104" t="s">
        <v>300</v>
      </c>
      <c r="D7" s="104" t="s">
        <v>301</v>
      </c>
    </row>
    <row r="8" spans="1:4">
      <c r="A8" s="104">
        <f t="shared" si="0"/>
        <v>0</v>
      </c>
      <c r="D8" s="657"/>
    </row>
    <row r="9" spans="1:4">
      <c r="A9" s="104" t="str">
        <f t="shared" si="0"/>
        <v>Lingua:</v>
      </c>
      <c r="B9" s="6" t="s">
        <v>433</v>
      </c>
      <c r="C9" s="6" t="s">
        <v>434</v>
      </c>
      <c r="D9" s="442" t="s">
        <v>435</v>
      </c>
    </row>
    <row r="10" spans="1:4">
      <c r="A10" s="104" t="str">
        <f t="shared" si="0"/>
        <v>Guida</v>
      </c>
      <c r="B10" s="6" t="s">
        <v>345</v>
      </c>
      <c r="C10" s="6" t="s">
        <v>416</v>
      </c>
      <c r="D10" s="442" t="s">
        <v>792</v>
      </c>
    </row>
    <row r="11" spans="1:4">
      <c r="A11" s="104" t="str">
        <f t="shared" si="0"/>
        <v>Celle verdi:</v>
      </c>
      <c r="B11" s="6" t="s">
        <v>351</v>
      </c>
      <c r="C11" s="6" t="s">
        <v>417</v>
      </c>
      <c r="D11" s="442" t="s">
        <v>1016</v>
      </c>
    </row>
    <row r="12" spans="1:4">
      <c r="A12" s="104" t="str">
        <f t="shared" si="0"/>
        <v>Celle gialle:</v>
      </c>
      <c r="B12" s="6" t="s">
        <v>352</v>
      </c>
      <c r="C12" s="6" t="s">
        <v>418</v>
      </c>
      <c r="D12" s="442" t="s">
        <v>1017</v>
      </c>
    </row>
    <row r="13" spans="1:4">
      <c r="A13" s="104" t="str">
        <f t="shared" si="0"/>
        <v>Celle bianche:</v>
      </c>
      <c r="B13" s="6" t="s">
        <v>353</v>
      </c>
      <c r="C13" s="6" t="s">
        <v>221</v>
      </c>
      <c r="D13" s="442" t="s">
        <v>1018</v>
      </c>
    </row>
    <row r="14" spans="1:4">
      <c r="A14" s="104" t="str">
        <f t="shared" si="0"/>
        <v>Menu di scelta</v>
      </c>
      <c r="B14" s="6" t="s">
        <v>223</v>
      </c>
      <c r="C14" s="6" t="s">
        <v>222</v>
      </c>
      <c r="D14" s="442" t="s">
        <v>794</v>
      </c>
    </row>
    <row r="15" spans="1:4">
      <c r="A15" s="104" t="str">
        <f t="shared" si="0"/>
        <v>All'inserimento dei dati</v>
      </c>
      <c r="B15" s="6" t="s">
        <v>415</v>
      </c>
      <c r="C15" s="6" t="s">
        <v>224</v>
      </c>
      <c r="D15" s="442" t="s">
        <v>795</v>
      </c>
    </row>
    <row r="16" spans="1:4">
      <c r="A16" s="104" t="str">
        <f t="shared" si="0"/>
        <v>Celle bloccate</v>
      </c>
      <c r="B16" s="6" t="s">
        <v>354</v>
      </c>
      <c r="C16" s="6" t="s">
        <v>225</v>
      </c>
      <c r="D16" s="442" t="s">
        <v>796</v>
      </c>
    </row>
    <row r="17" spans="1:4">
      <c r="A17" s="104" t="str">
        <f t="shared" si="0"/>
        <v>Procedura:</v>
      </c>
      <c r="B17" s="6" t="s">
        <v>355</v>
      </c>
      <c r="C17" s="104" t="s">
        <v>673</v>
      </c>
      <c r="D17" s="442" t="s">
        <v>1022</v>
      </c>
    </row>
    <row r="18" spans="1:4">
      <c r="A18" s="104" t="str">
        <f t="shared" si="0"/>
        <v>Principio: deve esserci concordanza con Suisse Bilanz</v>
      </c>
      <c r="B18" s="6" t="s">
        <v>367</v>
      </c>
      <c r="C18" s="104" t="s">
        <v>674</v>
      </c>
      <c r="D18" s="442" t="s">
        <v>797</v>
      </c>
    </row>
    <row r="19" spans="1:4">
      <c r="A19" s="104" t="str">
        <f t="shared" si="0"/>
        <v>1. Inserire i dati aziendali, in particolare la regione</v>
      </c>
      <c r="B19" s="6" t="s">
        <v>1135</v>
      </c>
      <c r="C19" s="104" t="s">
        <v>1136</v>
      </c>
      <c r="D19" s="442" t="s">
        <v>1137</v>
      </c>
    </row>
    <row r="20" spans="1:4">
      <c r="A20" s="104" t="str">
        <f t="shared" si="0"/>
        <v>2. Parte A: consumo di foraggio di base e concentrato (fabbisogno)</v>
      </c>
      <c r="B20" s="104" t="s">
        <v>1151</v>
      </c>
      <c r="C20" s="104" t="s">
        <v>1152</v>
      </c>
      <c r="D20" s="442" t="s">
        <v>1153</v>
      </c>
    </row>
    <row r="21" spans="1:4">
      <c r="A21" s="104" t="str">
        <f t="shared" si="0"/>
        <v xml:space="preserve">    - Inserire tutti gli animali che consumano foraggio</v>
      </c>
      <c r="B21" s="144" t="s">
        <v>1168</v>
      </c>
      <c r="C21" s="104" t="s">
        <v>1183</v>
      </c>
      <c r="D21" s="104" t="s">
        <v>932</v>
      </c>
    </row>
    <row r="22" spans="1:4">
      <c r="A22" s="104" t="str">
        <f t="shared" si="0"/>
        <v xml:space="preserve">    - Inserire il consumo totale dei concentrati per categoria di animale</v>
      </c>
      <c r="B22" s="6" t="s">
        <v>1091</v>
      </c>
      <c r="C22" s="104" t="s">
        <v>1088</v>
      </c>
      <c r="D22" s="104" t="s">
        <v>1089</v>
      </c>
    </row>
    <row r="23" spans="1:4">
      <c r="A23" s="104" t="str">
        <f t="shared" si="0"/>
        <v xml:space="preserve">      consumati dall'azienda all'anno (senza estivazione).</v>
      </c>
      <c r="B23" s="89" t="s">
        <v>1093</v>
      </c>
      <c r="C23" s="104" t="s">
        <v>1092</v>
      </c>
      <c r="D23" s="104" t="s">
        <v>1090</v>
      </c>
    </row>
    <row r="24" spans="1:4">
      <c r="A24" s="104" t="str">
        <f t="shared" si="0"/>
        <v xml:space="preserve">    - Estivazione: riguardo al numero di animali, bisogna inserire i  </v>
      </c>
      <c r="B24" s="579" t="s">
        <v>1203</v>
      </c>
      <c r="C24" s="582" t="s">
        <v>1224</v>
      </c>
      <c r="D24" s="582" t="s">
        <v>933</v>
      </c>
    </row>
    <row r="25" spans="1:4">
      <c r="A25" s="104" t="str">
        <f t="shared" si="0"/>
        <v xml:space="preserve">      dati sul numero di animali estivati (in negativo) e sul numero di giorni di estivazione.</v>
      </c>
      <c r="B25" s="579" t="s">
        <v>1205</v>
      </c>
      <c r="C25" s="104" t="s">
        <v>1204</v>
      </c>
      <c r="D25" s="104" t="s">
        <v>934</v>
      </c>
    </row>
    <row r="26" spans="1:4">
      <c r="A26" s="104" t="str">
        <f t="shared" si="0"/>
        <v xml:space="preserve">    - Se i dati dell'estivazione sono registrati, è necessario dichiarare la quantità di</v>
      </c>
      <c r="B26" s="104" t="s">
        <v>302</v>
      </c>
      <c r="C26" s="104" t="s">
        <v>305</v>
      </c>
      <c r="D26" s="104" t="s">
        <v>1301</v>
      </c>
    </row>
    <row r="27" spans="1:4">
      <c r="A27" s="104" t="str">
        <f t="shared" si="0"/>
        <v xml:space="preserve">       forragio concentrato nel piano di foraggio.</v>
      </c>
      <c r="B27" s="104" t="s">
        <v>303</v>
      </c>
      <c r="C27" s="104" t="s">
        <v>306</v>
      </c>
      <c r="D27" s="104" t="s">
        <v>1302</v>
      </c>
    </row>
    <row r="28" spans="1:4">
      <c r="A28" s="104" t="str">
        <f t="shared" si="0"/>
        <v xml:space="preserve">    - L'afforaggiamento di alimenti complementari durante l'estivazione è autorizzato solo per gli animali</v>
      </c>
      <c r="B28" s="104" t="s">
        <v>1219</v>
      </c>
      <c r="C28" s="104" t="s">
        <v>1227</v>
      </c>
      <c r="D28" s="104" t="s">
        <v>935</v>
      </c>
    </row>
    <row r="29" spans="1:4">
      <c r="A29" s="104" t="str">
        <f t="shared" si="0"/>
        <v xml:space="preserve">      munti delle seguenti categorie: vacche da latte, capre e pecore. Quantità max 1 kg/vacche/d, 0.25 kg/capre, 0.2/pecore/d </v>
      </c>
      <c r="B29" s="104" t="s">
        <v>304</v>
      </c>
      <c r="C29" s="104" t="s">
        <v>307</v>
      </c>
      <c r="D29" s="104" t="s">
        <v>308</v>
      </c>
    </row>
    <row r="30" spans="1:4">
      <c r="A30" s="104" t="str">
        <f t="shared" si="0"/>
        <v xml:space="preserve">    - Le definizioni contenute nell'allegato 5 dell'OPD sono anche valide per  </v>
      </c>
      <c r="B30" s="476" t="s">
        <v>1222</v>
      </c>
      <c r="C30" s="6" t="s">
        <v>1225</v>
      </c>
      <c r="D30" s="104" t="s">
        <v>936</v>
      </c>
    </row>
    <row r="31" spans="1:4">
      <c r="A31" s="104" t="str">
        <f t="shared" si="0"/>
        <v xml:space="preserve">      gli alimenti di base e quelli complementari somministrati durante l'estivazione. </v>
      </c>
      <c r="B31" s="476" t="s">
        <v>1223</v>
      </c>
      <c r="C31" s="6" t="s">
        <v>1226</v>
      </c>
      <c r="D31" s="104" t="s">
        <v>937</v>
      </c>
    </row>
    <row r="32" spans="1:4">
      <c r="A32" s="104" t="str">
        <f t="shared" si="0"/>
        <v>3. Parte B: Produzione di foraggio di base</v>
      </c>
      <c r="B32" s="6" t="s">
        <v>1185</v>
      </c>
      <c r="C32" s="104" t="s">
        <v>1186</v>
      </c>
      <c r="D32" s="442" t="s">
        <v>1189</v>
      </c>
    </row>
    <row r="33" spans="1:4">
      <c r="A33" s="104" t="str">
        <f t="shared" si="0"/>
        <v xml:space="preserve">    - registrare superfici e rese </v>
      </c>
      <c r="B33" s="6" t="s">
        <v>1184</v>
      </c>
      <c r="C33" s="104" t="s">
        <v>1187</v>
      </c>
      <c r="D33" s="442" t="s">
        <v>1188</v>
      </c>
    </row>
    <row r="34" spans="1:4">
      <c r="A34" s="104" t="str">
        <f t="shared" si="0"/>
        <v xml:space="preserve">    - Per prati e pascoli vigono valori massimi</v>
      </c>
      <c r="B34" s="6" t="s">
        <v>1190</v>
      </c>
      <c r="C34" s="104" t="s">
        <v>1191</v>
      </c>
      <c r="D34" s="442" t="s">
        <v>1192</v>
      </c>
    </row>
    <row r="35" spans="1:4">
      <c r="A35" s="104" t="str">
        <f t="shared" si="0"/>
        <v xml:space="preserve">    - Elevate rese sono possibili solo con una perizia sulla resa</v>
      </c>
      <c r="B35" s="6" t="s">
        <v>1193</v>
      </c>
      <c r="C35" s="104" t="s">
        <v>1194</v>
      </c>
      <c r="D35" s="442" t="s">
        <v>1195</v>
      </c>
    </row>
    <row r="36" spans="1:4">
      <c r="A36" s="104" t="str">
        <f t="shared" si="0"/>
        <v xml:space="preserve">    - Rese di colture intercalari max. 25 q SS</v>
      </c>
      <c r="B36" s="6" t="s">
        <v>1196</v>
      </c>
      <c r="C36" s="104" t="s">
        <v>1197</v>
      </c>
      <c r="D36" s="442" t="s">
        <v>1198</v>
      </c>
    </row>
    <row r="37" spans="1:4">
      <c r="A37" s="104" t="str">
        <f t="shared" si="0"/>
        <v>4. Dati per il calcolo della densità minima di animali</v>
      </c>
      <c r="B37" s="6" t="s">
        <v>1201</v>
      </c>
      <c r="C37" s="104" t="s">
        <v>1229</v>
      </c>
      <c r="D37" s="442" t="s">
        <v>1234</v>
      </c>
    </row>
    <row r="38" spans="1:4">
      <c r="A38" s="104" t="str">
        <f t="shared" si="0"/>
        <v xml:space="preserve">    - per ogni zona registrare il totale per terreni permanentemente inerbiti e prati artificiali </v>
      </c>
      <c r="B38" s="6" t="s">
        <v>1199</v>
      </c>
      <c r="C38" s="104" t="s">
        <v>1230</v>
      </c>
      <c r="D38" s="442" t="s">
        <v>1232</v>
      </c>
    </row>
    <row r="39" spans="1:4">
      <c r="A39" s="104" t="str">
        <f t="shared" si="0"/>
        <v xml:space="preserve">      nonché il totale per le superfici per la promozione della biodiversità (SPB)</v>
      </c>
      <c r="B39" s="6" t="s">
        <v>1200</v>
      </c>
      <c r="C39" s="104" t="s">
        <v>1231</v>
      </c>
      <c r="D39" s="442" t="s">
        <v>1233</v>
      </c>
    </row>
    <row r="40" spans="1:4">
      <c r="A40" s="104" t="str">
        <f t="shared" si="0"/>
        <v xml:space="preserve">    - per ogni zona rgistrare il totale per la promozione della biodiversità</v>
      </c>
      <c r="B40" s="6" t="s">
        <v>136</v>
      </c>
      <c r="C40" s="104" t="s">
        <v>1235</v>
      </c>
      <c r="D40" s="442" t="s">
        <v>135</v>
      </c>
    </row>
    <row r="41" spans="1:4">
      <c r="A41" s="104" t="str">
        <f t="shared" si="0"/>
        <v>4. Parte C: Registrare ritiri e cessioni di foraggi di base</v>
      </c>
      <c r="B41" s="6" t="s">
        <v>1213</v>
      </c>
      <c r="C41" s="104" t="s">
        <v>1215</v>
      </c>
      <c r="D41" s="442" t="s">
        <v>1217</v>
      </c>
    </row>
    <row r="42" spans="1:4">
      <c r="A42" s="104" t="str">
        <f t="shared" si="0"/>
        <v xml:space="preserve">    - Scegliere il codice acquisto o vendita</v>
      </c>
      <c r="B42" s="6" t="s">
        <v>137</v>
      </c>
      <c r="C42" s="104" t="s">
        <v>141</v>
      </c>
      <c r="D42" s="442" t="s">
        <v>145</v>
      </c>
    </row>
    <row r="43" spans="1:4">
      <c r="A43" s="104" t="str">
        <f t="shared" si="0"/>
        <v xml:space="preserve">    - Attenzione: Il bilancio del foraggio di base deve essere equilibrato: confronto tra</v>
      </c>
      <c r="B43" s="6" t="s">
        <v>138</v>
      </c>
      <c r="C43" s="104" t="s">
        <v>142</v>
      </c>
      <c r="D43" s="442" t="s">
        <v>146</v>
      </c>
    </row>
    <row r="44" spans="1:4">
      <c r="A44" s="104" t="str">
        <f t="shared" si="0"/>
        <v xml:space="preserve">      "B1: produzione totale foraggio di base" e "Totale foraggio di base da produrre sulla superficie </v>
      </c>
      <c r="B44" s="6" t="s">
        <v>139</v>
      </c>
      <c r="C44" s="104" t="s">
        <v>143</v>
      </c>
      <c r="D44" s="442" t="s">
        <v>147</v>
      </c>
    </row>
    <row r="45" spans="1:4">
      <c r="A45" s="104" t="str">
        <f t="shared" si="0"/>
        <v xml:space="preserve">      foraggera (FB prod)"</v>
      </c>
      <c r="B45" s="6" t="s">
        <v>140</v>
      </c>
      <c r="C45" s="104" t="s">
        <v>144</v>
      </c>
      <c r="D45" s="442" t="s">
        <v>148</v>
      </c>
    </row>
    <row r="46" spans="1:4">
      <c r="A46" s="104" t="str">
        <f t="shared" si="0"/>
        <v xml:space="preserve">5. Parte D: Il bilancio </v>
      </c>
      <c r="B46" s="6" t="s">
        <v>1214</v>
      </c>
      <c r="C46" s="104" t="s">
        <v>1216</v>
      </c>
      <c r="D46" s="443" t="s">
        <v>1218</v>
      </c>
    </row>
    <row r="47" spans="1:4">
      <c r="A47" s="104" t="str">
        <f t="shared" si="0"/>
        <v xml:space="preserve">    - Il bilancio indica, in base alle regioni,</v>
      </c>
      <c r="B47" s="6" t="s">
        <v>149</v>
      </c>
      <c r="C47" s="104" t="s">
        <v>153</v>
      </c>
      <c r="D47" s="443" t="s">
        <v>157</v>
      </c>
    </row>
    <row r="48" spans="1:4">
      <c r="A48" s="104" t="str">
        <f t="shared" si="0"/>
        <v xml:space="preserve">      se le razioni minime sono rispettate oppure no. </v>
      </c>
      <c r="B48" s="6" t="s">
        <v>150</v>
      </c>
      <c r="C48" s="104" t="s">
        <v>154</v>
      </c>
      <c r="D48" s="443" t="s">
        <v>158</v>
      </c>
    </row>
    <row r="49" spans="1:4">
      <c r="A49" s="104" t="str">
        <f t="shared" si="0"/>
        <v xml:space="preserve">      Verde=rispettato</v>
      </c>
      <c r="B49" s="6" t="s">
        <v>151</v>
      </c>
      <c r="C49" s="104" t="s">
        <v>155</v>
      </c>
      <c r="D49" s="442" t="s">
        <v>159</v>
      </c>
    </row>
    <row r="50" spans="1:4">
      <c r="A50" s="104" t="str">
        <f t="shared" si="0"/>
        <v xml:space="preserve">      Rosso=non rispettato</v>
      </c>
      <c r="B50" s="6" t="s">
        <v>152</v>
      </c>
      <c r="C50" s="104" t="s">
        <v>156</v>
      </c>
      <c r="D50" s="442" t="s">
        <v>160</v>
      </c>
    </row>
    <row r="51" spans="1:4">
      <c r="A51" s="104" t="str">
        <f t="shared" si="0"/>
        <v>Indicazione:</v>
      </c>
      <c r="B51" s="6" t="s">
        <v>653</v>
      </c>
      <c r="C51" s="104" t="s">
        <v>675</v>
      </c>
      <c r="D51" s="442" t="s">
        <v>798</v>
      </c>
    </row>
    <row r="52" spans="1:4" s="103" customFormat="1">
      <c r="A52" s="103" t="str">
        <f t="shared" si="0"/>
        <v>Bilancio</v>
      </c>
      <c r="B52" s="103" t="s">
        <v>505</v>
      </c>
      <c r="C52" s="103" t="s">
        <v>335</v>
      </c>
      <c r="D52" s="481" t="s">
        <v>995</v>
      </c>
    </row>
    <row r="53" spans="1:4">
      <c r="A53" s="104" t="str">
        <f t="shared" si="0"/>
        <v>Bilancio foraggero per la produzione di latte e carne</v>
      </c>
      <c r="B53" s="6" t="s">
        <v>170</v>
      </c>
      <c r="C53" s="6" t="s">
        <v>343</v>
      </c>
      <c r="D53" s="442" t="s">
        <v>799</v>
      </c>
    </row>
    <row r="54" spans="1:4">
      <c r="A54" s="104" t="str">
        <f t="shared" si="0"/>
        <v>basata sulla superficie inerbita</v>
      </c>
      <c r="B54" s="6" t="s">
        <v>171</v>
      </c>
      <c r="C54" s="6" t="s">
        <v>344</v>
      </c>
      <c r="D54" s="442" t="s">
        <v>800</v>
      </c>
    </row>
    <row r="55" spans="1:4">
      <c r="A55" s="104" t="str">
        <f t="shared" si="0"/>
        <v>Numero aziendale</v>
      </c>
      <c r="B55" s="6" t="s">
        <v>575</v>
      </c>
      <c r="C55" s="6" t="s">
        <v>365</v>
      </c>
      <c r="D55" s="442" t="s">
        <v>801</v>
      </c>
    </row>
    <row r="56" spans="1:4">
      <c r="A56" s="104" t="str">
        <f t="shared" si="0"/>
        <v>Anno del raccolto</v>
      </c>
      <c r="B56" s="6" t="s">
        <v>576</v>
      </c>
      <c r="C56" s="6" t="s">
        <v>577</v>
      </c>
      <c r="D56" s="442" t="s">
        <v>802</v>
      </c>
    </row>
    <row r="57" spans="1:4">
      <c r="A57" s="104" t="str">
        <f t="shared" si="0"/>
        <v>Cognome / nome</v>
      </c>
      <c r="B57" s="6" t="s">
        <v>578</v>
      </c>
      <c r="C57" s="6" t="s">
        <v>676</v>
      </c>
      <c r="D57" s="442" t="s">
        <v>803</v>
      </c>
    </row>
    <row r="58" spans="1:4">
      <c r="A58" s="104" t="str">
        <f t="shared" si="0"/>
        <v>Opzione</v>
      </c>
      <c r="B58" s="6" t="s">
        <v>399</v>
      </c>
      <c r="C58" s="6" t="s">
        <v>399</v>
      </c>
      <c r="D58" s="442" t="s">
        <v>804</v>
      </c>
    </row>
    <row r="59" spans="1:4">
      <c r="A59" s="104" t="str">
        <f t="shared" si="0"/>
        <v>Strada / fattoria</v>
      </c>
      <c r="B59" s="6" t="s">
        <v>579</v>
      </c>
      <c r="C59" s="6" t="s">
        <v>677</v>
      </c>
      <c r="D59" s="442" t="s">
        <v>805</v>
      </c>
    </row>
    <row r="60" spans="1:4">
      <c r="A60" s="104" t="str">
        <f t="shared" si="0"/>
        <v>Cantone</v>
      </c>
      <c r="B60" s="6" t="s">
        <v>583</v>
      </c>
      <c r="C60" s="6" t="s">
        <v>584</v>
      </c>
      <c r="D60" s="442" t="s">
        <v>806</v>
      </c>
    </row>
    <row r="61" spans="1:4">
      <c r="A61" s="104" t="str">
        <f t="shared" si="0"/>
        <v>NPA / luogo</v>
      </c>
      <c r="B61" s="6" t="s">
        <v>580</v>
      </c>
      <c r="C61" s="6" t="s">
        <v>678</v>
      </c>
      <c r="D61" s="442" t="s">
        <v>807</v>
      </c>
    </row>
    <row r="62" spans="1:4">
      <c r="A62" s="104" t="str">
        <f t="shared" si="0"/>
        <v>Fax / e-mail</v>
      </c>
      <c r="B62" s="6" t="s">
        <v>585</v>
      </c>
      <c r="C62" s="6" t="s">
        <v>679</v>
      </c>
      <c r="D62" s="442" t="s">
        <v>808</v>
      </c>
    </row>
    <row r="63" spans="1:4">
      <c r="A63" s="104" t="str">
        <f t="shared" si="0"/>
        <v>Telefono</v>
      </c>
      <c r="B63" s="6" t="s">
        <v>581</v>
      </c>
      <c r="C63" s="6" t="s">
        <v>582</v>
      </c>
      <c r="D63" s="442" t="s">
        <v>809</v>
      </c>
    </row>
    <row r="64" spans="1:4">
      <c r="A64" s="104" t="str">
        <f t="shared" si="0"/>
        <v>Cellulare</v>
      </c>
      <c r="B64" s="6" t="s">
        <v>532</v>
      </c>
      <c r="C64" s="6" t="s">
        <v>680</v>
      </c>
      <c r="D64" s="442" t="s">
        <v>810</v>
      </c>
    </row>
    <row r="65" spans="1:4">
      <c r="A65" s="104" t="str">
        <f t="shared" si="0"/>
        <v>Sup. agricola utile</v>
      </c>
      <c r="B65" s="6" t="s">
        <v>385</v>
      </c>
      <c r="C65" s="6" t="s">
        <v>366</v>
      </c>
      <c r="D65" s="442" t="s">
        <v>1030</v>
      </c>
    </row>
    <row r="66" spans="1:4">
      <c r="A66" s="104" t="str">
        <f t="shared" si="0"/>
        <v>Altitudine</v>
      </c>
      <c r="B66" s="6" t="s">
        <v>379</v>
      </c>
      <c r="C66" s="6" t="s">
        <v>380</v>
      </c>
      <c r="D66" s="442" t="s">
        <v>811</v>
      </c>
    </row>
    <row r="67" spans="1:4">
      <c r="A67" s="104" t="str">
        <f t="shared" si="0"/>
        <v>regioni</v>
      </c>
      <c r="B67" s="6" t="s">
        <v>1080</v>
      </c>
      <c r="C67" s="476" t="s">
        <v>1138</v>
      </c>
      <c r="D67" s="656" t="s">
        <v>1139</v>
      </c>
    </row>
    <row r="68" spans="1:4">
      <c r="A68" s="104" t="str">
        <f t="shared" si="0"/>
        <v>regione di pianura</v>
      </c>
      <c r="B68" s="6" t="s">
        <v>666</v>
      </c>
      <c r="C68" s="476" t="s">
        <v>1122</v>
      </c>
      <c r="D68" s="656" t="s">
        <v>1070</v>
      </c>
    </row>
    <row r="69" spans="1:4">
      <c r="A69" s="104" t="str">
        <f t="shared" si="0"/>
        <v>regione di montagna</v>
      </c>
      <c r="B69" s="6" t="s">
        <v>667</v>
      </c>
      <c r="C69" s="476" t="s">
        <v>670</v>
      </c>
      <c r="D69" s="656" t="s">
        <v>1069</v>
      </c>
    </row>
    <row r="70" spans="1:4">
      <c r="A70" s="104" t="str">
        <f t="shared" si="0"/>
        <v>Forma di produzione</v>
      </c>
      <c r="B70" s="6" t="s">
        <v>381</v>
      </c>
      <c r="C70" s="6" t="s">
        <v>382</v>
      </c>
      <c r="D70" s="442" t="s">
        <v>818</v>
      </c>
    </row>
    <row r="71" spans="1:4">
      <c r="A71" s="104" t="str">
        <f t="shared" ref="A71:A81" si="1">IF($A$2=1,B71,IF($A$2=2,C71,IF($A$2=3,D71,"")))</f>
        <v>PER: non adempiuta</v>
      </c>
      <c r="B71" s="6" t="s">
        <v>226</v>
      </c>
      <c r="C71" s="6" t="s">
        <v>227</v>
      </c>
      <c r="D71" s="442" t="s">
        <v>819</v>
      </c>
    </row>
    <row r="72" spans="1:4">
      <c r="A72" s="104" t="str">
        <f t="shared" si="1"/>
        <v>PER: adempiuta</v>
      </c>
      <c r="B72" s="6" t="s">
        <v>228</v>
      </c>
      <c r="C72" s="6" t="s">
        <v>229</v>
      </c>
      <c r="D72" s="442" t="s">
        <v>820</v>
      </c>
    </row>
    <row r="73" spans="1:4">
      <c r="A73" s="104" t="str">
        <f t="shared" si="1"/>
        <v>Agricoltura biologica</v>
      </c>
      <c r="B73" s="6" t="s">
        <v>322</v>
      </c>
      <c r="C73" s="6" t="s">
        <v>323</v>
      </c>
      <c r="D73" s="442" t="s">
        <v>821</v>
      </c>
    </row>
    <row r="74" spans="1:4">
      <c r="A74" s="104" t="str">
        <f t="shared" si="1"/>
        <v>Comunità</v>
      </c>
      <c r="B74" s="6" t="s">
        <v>586</v>
      </c>
      <c r="C74" s="6" t="s">
        <v>384</v>
      </c>
      <c r="D74" s="442" t="s">
        <v>822</v>
      </c>
    </row>
    <row r="75" spans="1:4">
      <c r="A75" s="104" t="str">
        <f t="shared" si="1"/>
        <v>Nessuna</v>
      </c>
      <c r="B75" s="6" t="s">
        <v>363</v>
      </c>
      <c r="C75" s="6" t="s">
        <v>364</v>
      </c>
      <c r="D75" s="442" t="s">
        <v>823</v>
      </c>
    </row>
    <row r="76" spans="1:4">
      <c r="A76" s="104" t="str">
        <f t="shared" si="1"/>
        <v>Comunità / un'azienda</v>
      </c>
      <c r="B76" s="6" t="s">
        <v>371</v>
      </c>
      <c r="C76" s="6" t="s">
        <v>372</v>
      </c>
      <c r="D76" s="442" t="s">
        <v>824</v>
      </c>
    </row>
    <row r="77" spans="1:4">
      <c r="A77" s="104" t="str">
        <f t="shared" si="1"/>
        <v>Con 2 aziende</v>
      </c>
      <c r="B77" s="6" t="s">
        <v>373</v>
      </c>
      <c r="C77" s="6" t="s">
        <v>374</v>
      </c>
      <c r="D77" s="442" t="s">
        <v>825</v>
      </c>
    </row>
    <row r="78" spans="1:4">
      <c r="A78" s="104" t="str">
        <f t="shared" si="1"/>
        <v>Con 3 aziende</v>
      </c>
      <c r="B78" s="6" t="s">
        <v>375</v>
      </c>
      <c r="C78" s="6" t="s">
        <v>193</v>
      </c>
      <c r="D78" s="442" t="s">
        <v>826</v>
      </c>
    </row>
    <row r="79" spans="1:4">
      <c r="A79" s="104" t="str">
        <f t="shared" si="1"/>
        <v>Con 4 aziende</v>
      </c>
      <c r="B79" s="6" t="s">
        <v>194</v>
      </c>
      <c r="C79" s="6" t="s">
        <v>195</v>
      </c>
      <c r="D79" s="442" t="s">
        <v>827</v>
      </c>
    </row>
    <row r="80" spans="1:4">
      <c r="A80" s="104" t="str">
        <f t="shared" si="1"/>
        <v>Consulente</v>
      </c>
      <c r="B80" s="6" t="s">
        <v>541</v>
      </c>
      <c r="C80" s="6" t="s">
        <v>540</v>
      </c>
      <c r="D80" s="442" t="s">
        <v>828</v>
      </c>
    </row>
    <row r="81" spans="1:5">
      <c r="A81" s="104" t="str">
        <f t="shared" si="1"/>
        <v>Osservazioni</v>
      </c>
      <c r="B81" s="6" t="s">
        <v>588</v>
      </c>
      <c r="C81" s="6" t="s">
        <v>589</v>
      </c>
      <c r="D81" s="442" t="s">
        <v>829</v>
      </c>
    </row>
    <row r="82" spans="1:5" s="103" customFormat="1">
      <c r="A82" s="103" t="str">
        <f t="shared" ref="A82:A140" si="2">IF($A$2=1,B82,IF($A$2=2,C82,IF($A$2=3,D82,"")))</f>
        <v>Parte A: consumo di foraggio di base e concentrato (fabbisogno)</v>
      </c>
      <c r="B82" s="103" t="s">
        <v>186</v>
      </c>
      <c r="C82" s="103" t="s">
        <v>715</v>
      </c>
      <c r="D82" s="441" t="s">
        <v>830</v>
      </c>
    </row>
    <row r="83" spans="1:5">
      <c r="A83" s="104" t="str">
        <f t="shared" si="2"/>
        <v>Totale concentrati per vacca da latte sulla SAU</v>
      </c>
      <c r="B83" s="6" t="s">
        <v>703</v>
      </c>
      <c r="C83" s="6" t="s">
        <v>704</v>
      </c>
      <c r="D83" s="442" t="s">
        <v>1042</v>
      </c>
      <c r="E83" s="442"/>
    </row>
    <row r="84" spans="1:5">
      <c r="A84" s="104" t="str">
        <f t="shared" si="2"/>
        <v>dt/anno</v>
      </c>
      <c r="B84" s="6" t="s">
        <v>705</v>
      </c>
      <c r="C84" s="75" t="s">
        <v>706</v>
      </c>
      <c r="D84" s="442" t="s">
        <v>707</v>
      </c>
    </row>
    <row r="85" spans="1:5">
      <c r="A85" s="104" t="str">
        <f t="shared" si="2"/>
        <v>patate o barbabietole da foraggio?</v>
      </c>
      <c r="B85" s="6" t="s">
        <v>324</v>
      </c>
      <c r="C85" s="6" t="s">
        <v>681</v>
      </c>
      <c r="D85" s="442" t="s">
        <v>1036</v>
      </c>
      <c r="E85" s="442"/>
    </row>
    <row r="86" spans="1:5">
      <c r="A86" s="104" t="str">
        <f t="shared" si="2"/>
        <v>Foraggiamento a discrezione?</v>
      </c>
      <c r="B86" s="6" t="s">
        <v>325</v>
      </c>
      <c r="C86" s="6" t="s">
        <v>326</v>
      </c>
      <c r="D86" s="442" t="s">
        <v>831</v>
      </c>
    </row>
    <row r="87" spans="1:5">
      <c r="A87" s="104" t="str">
        <f t="shared" si="2"/>
        <v>sì</v>
      </c>
      <c r="B87" s="6" t="s">
        <v>327</v>
      </c>
      <c r="C87" s="6" t="s">
        <v>328</v>
      </c>
      <c r="D87" s="442" t="s">
        <v>832</v>
      </c>
    </row>
    <row r="88" spans="1:5">
      <c r="A88" s="104" t="str">
        <f t="shared" si="2"/>
        <v>no</v>
      </c>
      <c r="B88" s="6" t="s">
        <v>329</v>
      </c>
      <c r="C88" s="6" t="s">
        <v>330</v>
      </c>
      <c r="D88" s="442" t="s">
        <v>833</v>
      </c>
    </row>
    <row r="89" spans="1:5">
      <c r="A89" s="104" t="str">
        <f t="shared" si="2"/>
        <v>Specie o categoria animale</v>
      </c>
      <c r="B89" s="6" t="s">
        <v>331</v>
      </c>
      <c r="C89" s="6" t="s">
        <v>474</v>
      </c>
      <c r="D89" s="442" t="s">
        <v>834</v>
      </c>
    </row>
    <row r="90" spans="1:5">
      <c r="A90" s="104" t="str">
        <f t="shared" si="2"/>
        <v>Unità</v>
      </c>
      <c r="B90" s="6" t="s">
        <v>386</v>
      </c>
      <c r="C90" s="6" t="s">
        <v>634</v>
      </c>
      <c r="D90" s="442" t="s">
        <v>835</v>
      </c>
    </row>
    <row r="91" spans="1:5">
      <c r="A91" s="104" t="str">
        <f t="shared" si="2"/>
        <v>Numero</v>
      </c>
      <c r="B91" s="6" t="s">
        <v>459</v>
      </c>
      <c r="C91" s="6" t="s">
        <v>476</v>
      </c>
      <c r="D91" s="442" t="s">
        <v>836</v>
      </c>
    </row>
    <row r="92" spans="1:5">
      <c r="A92" s="104" t="str">
        <f t="shared" si="2"/>
        <v>Deduzione /</v>
      </c>
      <c r="B92" s="6" t="s">
        <v>453</v>
      </c>
      <c r="C92" s="6" t="s">
        <v>454</v>
      </c>
      <c r="D92" s="442" t="s">
        <v>837</v>
      </c>
    </row>
    <row r="93" spans="1:5">
      <c r="A93" s="104" t="str">
        <f t="shared" si="2"/>
        <v>supplemento</v>
      </c>
      <c r="B93" s="6" t="s">
        <v>455</v>
      </c>
      <c r="C93" s="6" t="s">
        <v>456</v>
      </c>
      <c r="D93" s="442" t="s">
        <v>843</v>
      </c>
    </row>
    <row r="94" spans="1:5">
      <c r="A94" s="104" t="str">
        <f t="shared" si="2"/>
        <v>±animali</v>
      </c>
      <c r="B94" s="6" t="s">
        <v>457</v>
      </c>
      <c r="C94" s="6" t="s">
        <v>682</v>
      </c>
      <c r="D94" s="442" t="s">
        <v>1031</v>
      </c>
    </row>
    <row r="95" spans="1:5">
      <c r="A95" s="104" t="str">
        <f t="shared" si="2"/>
        <v>Giorni</v>
      </c>
      <c r="B95" s="6" t="s">
        <v>458</v>
      </c>
      <c r="C95" s="6" t="s">
        <v>514</v>
      </c>
      <c r="D95" s="442" t="s">
        <v>844</v>
      </c>
    </row>
    <row r="96" spans="1:5">
      <c r="A96" s="104" t="str">
        <f t="shared" si="2"/>
        <v>Numero</v>
      </c>
      <c r="B96" s="6" t="s">
        <v>459</v>
      </c>
      <c r="C96" s="6" t="s">
        <v>476</v>
      </c>
      <c r="D96" s="442" t="s">
        <v>836</v>
      </c>
    </row>
    <row r="97" spans="1:4">
      <c r="A97" s="104" t="str">
        <f t="shared" si="2"/>
        <v>Corretto</v>
      </c>
      <c r="B97" s="6" t="s">
        <v>555</v>
      </c>
      <c r="C97" s="6" t="s">
        <v>332</v>
      </c>
      <c r="D97" s="442" t="s">
        <v>845</v>
      </c>
    </row>
    <row r="98" spans="1:4">
      <c r="A98" s="104">
        <f t="shared" si="2"/>
        <v>0</v>
      </c>
      <c r="B98" s="6" t="s">
        <v>556</v>
      </c>
      <c r="D98" s="657"/>
    </row>
    <row r="99" spans="1:4">
      <c r="A99" s="104" t="str">
        <f t="shared" si="2"/>
        <v>Consumo</v>
      </c>
      <c r="B99" s="6" t="s">
        <v>534</v>
      </c>
      <c r="C99" s="6" t="s">
        <v>473</v>
      </c>
      <c r="D99" s="442" t="s">
        <v>846</v>
      </c>
    </row>
    <row r="100" spans="1:4">
      <c r="A100" s="104" t="str">
        <f t="shared" si="2"/>
        <v>di foraggio di base</v>
      </c>
      <c r="B100" s="6" t="s">
        <v>533</v>
      </c>
      <c r="C100" s="6" t="s">
        <v>683</v>
      </c>
      <c r="D100" s="442" t="s">
        <v>847</v>
      </c>
    </row>
    <row r="101" spans="1:4">
      <c r="A101" s="104" t="str">
        <f t="shared" si="2"/>
        <v>per anno</v>
      </c>
      <c r="B101" s="6" t="s">
        <v>392</v>
      </c>
      <c r="C101" s="6" t="s">
        <v>477</v>
      </c>
      <c r="D101" s="442" t="s">
        <v>848</v>
      </c>
    </row>
    <row r="102" spans="1:4">
      <c r="A102" s="104" t="str">
        <f t="shared" si="2"/>
        <v>q SF</v>
      </c>
      <c r="B102" s="6" t="s">
        <v>439</v>
      </c>
      <c r="C102" s="6" t="s">
        <v>440</v>
      </c>
      <c r="D102" s="442" t="s">
        <v>849</v>
      </c>
    </row>
    <row r="103" spans="1:4">
      <c r="A103" s="104" t="str">
        <f t="shared" si="2"/>
        <v>Totale</v>
      </c>
      <c r="B103" s="6" t="s">
        <v>478</v>
      </c>
      <c r="C103" s="6" t="s">
        <v>478</v>
      </c>
      <c r="D103" s="442" t="s">
        <v>850</v>
      </c>
    </row>
    <row r="104" spans="1:4">
      <c r="A104" s="104" t="str">
        <f t="shared" si="2"/>
        <v>q SS</v>
      </c>
      <c r="B104" s="6" t="s">
        <v>387</v>
      </c>
      <c r="C104" s="6" t="s">
        <v>479</v>
      </c>
      <c r="D104" s="442" t="s">
        <v>851</v>
      </c>
    </row>
    <row r="105" spans="1:4">
      <c r="A105" s="104" t="str">
        <f t="shared" si="2"/>
        <v>Consumo di</v>
      </c>
      <c r="B105" s="6" t="s">
        <v>200</v>
      </c>
      <c r="C105" s="6" t="s">
        <v>473</v>
      </c>
      <c r="D105" s="442" t="s">
        <v>852</v>
      </c>
    </row>
    <row r="106" spans="1:4">
      <c r="A106" s="104" t="str">
        <f t="shared" si="2"/>
        <v>concentrati</v>
      </c>
      <c r="B106" s="6" t="s">
        <v>533</v>
      </c>
      <c r="C106" s="6" t="s">
        <v>684</v>
      </c>
      <c r="D106" s="442" t="s">
        <v>1032</v>
      </c>
    </row>
    <row r="107" spans="1:4">
      <c r="A107" s="104" t="str">
        <f t="shared" si="2"/>
        <v>per unità</v>
      </c>
      <c r="B107" s="6" t="s">
        <v>362</v>
      </c>
      <c r="C107" s="6" t="s">
        <v>475</v>
      </c>
      <c r="D107" s="442" t="s">
        <v>853</v>
      </c>
    </row>
    <row r="108" spans="1:4">
      <c r="A108" s="104" t="str">
        <f t="shared" si="2"/>
        <v>kg SF</v>
      </c>
      <c r="B108" s="6" t="s">
        <v>181</v>
      </c>
      <c r="C108" s="104" t="s">
        <v>685</v>
      </c>
      <c r="D108" s="442" t="s">
        <v>854</v>
      </c>
    </row>
    <row r="109" spans="1:4">
      <c r="A109" s="104" t="str">
        <f t="shared" si="2"/>
        <v>q</v>
      </c>
      <c r="B109" s="6" t="s">
        <v>635</v>
      </c>
      <c r="C109" s="6" t="s">
        <v>635</v>
      </c>
      <c r="D109" s="442" t="s">
        <v>855</v>
      </c>
    </row>
    <row r="110" spans="1:4">
      <c r="A110" s="104" t="str">
        <f t="shared" si="2"/>
        <v>Estivazione</v>
      </c>
      <c r="B110" s="6" t="s">
        <v>233</v>
      </c>
      <c r="C110" s="476" t="s">
        <v>234</v>
      </c>
      <c r="D110" s="656" t="s">
        <v>235</v>
      </c>
    </row>
    <row r="111" spans="1:4">
      <c r="A111" s="104" t="str">
        <f t="shared" si="2"/>
        <v>Numero</v>
      </c>
      <c r="B111" s="6" t="s">
        <v>459</v>
      </c>
      <c r="C111" s="476" t="s">
        <v>476</v>
      </c>
      <c r="D111" s="442" t="s">
        <v>836</v>
      </c>
    </row>
    <row r="112" spans="1:4">
      <c r="A112" s="104" t="str">
        <f t="shared" si="2"/>
        <v>animali</v>
      </c>
      <c r="B112" s="6" t="s">
        <v>230</v>
      </c>
      <c r="C112" s="476" t="s">
        <v>231</v>
      </c>
      <c r="D112" s="442" t="s">
        <v>232</v>
      </c>
    </row>
    <row r="113" spans="1:5">
      <c r="A113" s="104" t="str">
        <f t="shared" si="2"/>
        <v>Numero</v>
      </c>
      <c r="B113" s="6" t="s">
        <v>459</v>
      </c>
      <c r="C113" s="476" t="s">
        <v>476</v>
      </c>
      <c r="D113" s="442" t="s">
        <v>836</v>
      </c>
    </row>
    <row r="114" spans="1:5">
      <c r="A114" s="104" t="str">
        <f t="shared" si="2"/>
        <v>Giorni</v>
      </c>
      <c r="B114" s="6" t="s">
        <v>458</v>
      </c>
      <c r="C114" s="476" t="s">
        <v>514</v>
      </c>
      <c r="D114" s="442" t="s">
        <v>844</v>
      </c>
    </row>
    <row r="115" spans="1:5">
      <c r="A115" s="104" t="str">
        <f t="shared" si="2"/>
        <v>giorni di esti-</v>
      </c>
      <c r="B115" s="104" t="s">
        <v>242</v>
      </c>
      <c r="C115" s="476" t="s">
        <v>243</v>
      </c>
      <c r="D115" s="104" t="s">
        <v>1086</v>
      </c>
    </row>
    <row r="116" spans="1:5">
      <c r="A116" s="104" t="str">
        <f t="shared" si="2"/>
        <v>vazione totale</v>
      </c>
      <c r="B116" s="104" t="s">
        <v>244</v>
      </c>
      <c r="C116" s="476" t="s">
        <v>478</v>
      </c>
      <c r="D116" s="442" t="s">
        <v>1087</v>
      </c>
    </row>
    <row r="117" spans="1:5">
      <c r="A117" s="104" t="str">
        <f t="shared" si="2"/>
        <v>C. di f. di base</v>
      </c>
      <c r="B117" s="6" t="s">
        <v>245</v>
      </c>
      <c r="C117" s="476" t="s">
        <v>246</v>
      </c>
      <c r="D117" s="656" t="s">
        <v>247</v>
      </c>
    </row>
    <row r="118" spans="1:5">
      <c r="A118" s="104" t="str">
        <f t="shared" si="2"/>
        <v>concentrati</v>
      </c>
      <c r="B118" s="6" t="s">
        <v>472</v>
      </c>
      <c r="C118" s="476" t="s">
        <v>248</v>
      </c>
      <c r="D118" s="656" t="s">
        <v>1032</v>
      </c>
    </row>
    <row r="119" spans="1:5">
      <c r="A119" s="104" t="str">
        <f t="shared" si="2"/>
        <v>q SS totale</v>
      </c>
      <c r="B119" s="104" t="s">
        <v>239</v>
      </c>
      <c r="C119" s="476" t="s">
        <v>240</v>
      </c>
      <c r="D119" s="442" t="s">
        <v>241</v>
      </c>
    </row>
    <row r="120" spans="1:5">
      <c r="A120" s="104" t="str">
        <f t="shared" si="2"/>
        <v>q SF totale</v>
      </c>
      <c r="B120" s="104" t="s">
        <v>236</v>
      </c>
      <c r="C120" s="516" t="s">
        <v>237</v>
      </c>
      <c r="D120" s="442" t="s">
        <v>238</v>
      </c>
    </row>
    <row r="121" spans="1:5">
      <c r="A121" s="104" t="str">
        <f t="shared" si="2"/>
        <v>Animali che consumano foraggio grezzo con foraggio concentrato</v>
      </c>
      <c r="B121" s="6" t="s">
        <v>595</v>
      </c>
      <c r="C121" s="6" t="s">
        <v>686</v>
      </c>
      <c r="D121" s="442" t="s">
        <v>856</v>
      </c>
      <c r="E121" s="442"/>
    </row>
    <row r="122" spans="1:5">
      <c r="A122" s="104" t="str">
        <f t="shared" si="2"/>
        <v>Bovini</v>
      </c>
      <c r="B122" s="6" t="s">
        <v>642</v>
      </c>
      <c r="C122" s="6" t="s">
        <v>687</v>
      </c>
      <c r="D122" s="442" t="s">
        <v>857</v>
      </c>
    </row>
    <row r="123" spans="1:5">
      <c r="A123" s="104" t="str">
        <f t="shared" si="2"/>
        <v>Prod. di latte Ø kg/anno</v>
      </c>
      <c r="B123" s="493" t="s">
        <v>1236</v>
      </c>
      <c r="C123" s="493" t="s">
        <v>1237</v>
      </c>
      <c r="D123" s="493" t="s">
        <v>1238</v>
      </c>
    </row>
    <row r="124" spans="1:5">
      <c r="A124" s="104" t="str">
        <f t="shared" si="2"/>
        <v>Vacche da latte</v>
      </c>
      <c r="B124" s="6" t="s">
        <v>558</v>
      </c>
      <c r="C124" s="6" t="s">
        <v>688</v>
      </c>
      <c r="D124" s="442" t="s">
        <v>858</v>
      </c>
    </row>
    <row r="125" spans="1:5">
      <c r="A125" s="104" t="str">
        <f t="shared" si="2"/>
        <v>Altre vacche</v>
      </c>
      <c r="B125" s="6" t="s">
        <v>196</v>
      </c>
      <c r="C125" s="6" t="s">
        <v>689</v>
      </c>
      <c r="D125" s="442" t="s">
        <v>859</v>
      </c>
    </row>
    <row r="126" spans="1:5">
      <c r="A126" s="104" t="str">
        <f t="shared" si="2"/>
        <v>Vacche madri pesanti (700-800 kg)</v>
      </c>
      <c r="B126" s="6" t="s">
        <v>1171</v>
      </c>
      <c r="C126" s="6" t="s">
        <v>1174</v>
      </c>
      <c r="D126" s="442" t="s">
        <v>1175</v>
      </c>
    </row>
    <row r="127" spans="1:5">
      <c r="A127" s="104" t="str">
        <f t="shared" si="2"/>
        <v>Vacche madri mezze (600-700 kg)</v>
      </c>
      <c r="B127" s="6" t="s">
        <v>1170</v>
      </c>
      <c r="C127" s="6" t="s">
        <v>1173</v>
      </c>
      <c r="D127" s="443" t="s">
        <v>1177</v>
      </c>
    </row>
    <row r="128" spans="1:5">
      <c r="A128" s="104" t="str">
        <f t="shared" si="2"/>
        <v>Vacche madri leggere (&lt;600 kg)</v>
      </c>
      <c r="B128" s="6" t="s">
        <v>1169</v>
      </c>
      <c r="C128" s="6" t="s">
        <v>1172</v>
      </c>
      <c r="D128" s="442" t="s">
        <v>1176</v>
      </c>
    </row>
    <row r="129" spans="1:4">
      <c r="A129" s="104" t="str">
        <f t="shared" si="2"/>
        <v>Bestiame giovane, 0-1 anno</v>
      </c>
      <c r="B129" s="6" t="s">
        <v>388</v>
      </c>
      <c r="C129" s="6" t="s">
        <v>690</v>
      </c>
      <c r="D129" s="442" t="s">
        <v>860</v>
      </c>
    </row>
    <row r="130" spans="1:4">
      <c r="A130" s="104" t="str">
        <f t="shared" si="2"/>
        <v>Bestiame giovane, 1-2 anni</v>
      </c>
      <c r="B130" s="6" t="s">
        <v>389</v>
      </c>
      <c r="C130" s="6" t="s">
        <v>691</v>
      </c>
      <c r="D130" s="442" t="s">
        <v>861</v>
      </c>
    </row>
    <row r="131" spans="1:4">
      <c r="A131" s="104" t="str">
        <f t="shared" si="2"/>
        <v>Manzi &gt;2 anni</v>
      </c>
      <c r="B131" s="6" t="s">
        <v>390</v>
      </c>
      <c r="C131" s="6" t="s">
        <v>692</v>
      </c>
      <c r="D131" s="442" t="s">
        <v>862</v>
      </c>
    </row>
    <row r="132" spans="1:4">
      <c r="A132" s="104" t="str">
        <f t="shared" si="2"/>
        <v>Vitelli da ingrasso (50-200 kg)</v>
      </c>
      <c r="B132" s="6" t="s">
        <v>544</v>
      </c>
      <c r="C132" s="6" t="s">
        <v>693</v>
      </c>
      <c r="D132" s="442" t="s">
        <v>863</v>
      </c>
    </row>
    <row r="133" spans="1:4">
      <c r="A133" s="104" t="str">
        <f t="shared" si="2"/>
        <v>Vitelli di vacche madri leggeri, circa 350 kg</v>
      </c>
      <c r="B133" s="6" t="s">
        <v>481</v>
      </c>
      <c r="C133" s="6" t="s">
        <v>694</v>
      </c>
      <c r="D133" s="442" t="s">
        <v>864</v>
      </c>
    </row>
    <row r="134" spans="1:4">
      <c r="A134" s="104" t="str">
        <f t="shared" si="2"/>
        <v>Vitelli di vacche madri pesanti, circa 400 kg</v>
      </c>
      <c r="B134" s="6" t="s">
        <v>482</v>
      </c>
      <c r="C134" s="6" t="s">
        <v>695</v>
      </c>
      <c r="D134" s="442" t="s">
        <v>865</v>
      </c>
    </row>
    <row r="135" spans="1:4">
      <c r="A135" s="104" t="str">
        <f t="shared" si="2"/>
        <v>Bovini da ingrasso, intensivo, 65-520 kg</v>
      </c>
      <c r="B135" s="6" t="s">
        <v>1275</v>
      </c>
      <c r="C135" s="6" t="s">
        <v>1280</v>
      </c>
      <c r="D135" s="442" t="s">
        <v>1281</v>
      </c>
    </row>
    <row r="136" spans="1:4">
      <c r="A136" s="104" t="str">
        <f t="shared" si="2"/>
        <v>Bovini da ingrasso, svezzamento &lt; 4 mesi</v>
      </c>
      <c r="B136" s="6" t="s">
        <v>1276</v>
      </c>
      <c r="C136" s="6" t="s">
        <v>1282</v>
      </c>
      <c r="D136" s="442" t="s">
        <v>1283</v>
      </c>
    </row>
    <row r="137" spans="1:4">
      <c r="A137" s="104" t="str">
        <f t="shared" si="2"/>
        <v>Bovini da ingrasso, intensivo &gt; 4 mesi</v>
      </c>
      <c r="B137" s="6" t="s">
        <v>1277</v>
      </c>
      <c r="C137" s="6" t="s">
        <v>1284</v>
      </c>
      <c r="D137" s="442" t="s">
        <v>1285</v>
      </c>
    </row>
    <row r="138" spans="1:4">
      <c r="A138" s="104" t="str">
        <f t="shared" si="2"/>
        <v>Bovini da ingrasso, pascolo &gt; 4 mesi</v>
      </c>
      <c r="B138" s="6" t="s">
        <v>1278</v>
      </c>
      <c r="C138" s="6" t="s">
        <v>1286</v>
      </c>
      <c r="D138" s="442" t="s">
        <v>1287</v>
      </c>
    </row>
    <row r="139" spans="1:4">
      <c r="A139" s="104" t="str">
        <f t="shared" si="2"/>
        <v>Bovini da ingrasso, finissaggio intensivo</v>
      </c>
      <c r="B139" s="6" t="s">
        <v>1279</v>
      </c>
      <c r="C139" s="6" t="s">
        <v>1288</v>
      </c>
      <c r="D139" s="442" t="s">
        <v>1289</v>
      </c>
    </row>
    <row r="140" spans="1:4">
      <c r="A140" s="104" t="str">
        <f t="shared" si="2"/>
        <v>Tori da allevamento</v>
      </c>
      <c r="B140" s="6" t="s">
        <v>483</v>
      </c>
      <c r="C140" s="6" t="s">
        <v>419</v>
      </c>
      <c r="D140" s="442" t="s">
        <v>869</v>
      </c>
    </row>
    <row r="141" spans="1:4">
      <c r="A141" s="104" t="str">
        <f t="shared" ref="A141:A152" si="3">IF($A$2=1,B141,IF($A$2=2,C141,IF($A$2=3,D141,"")))</f>
        <v>Animali che consumano foraggio grezzo senza foraggio concentrato (PLCSI misto)</v>
      </c>
      <c r="B141" s="6" t="s">
        <v>596</v>
      </c>
      <c r="C141" s="6" t="s">
        <v>696</v>
      </c>
      <c r="D141" s="442" t="s">
        <v>870</v>
      </c>
    </row>
    <row r="142" spans="1:4">
      <c r="A142" s="104" t="str">
        <f t="shared" si="3"/>
        <v xml:space="preserve">Altri animali che consumano foraggio grezzo </v>
      </c>
      <c r="B142" s="6" t="s">
        <v>641</v>
      </c>
      <c r="C142" s="6" t="s">
        <v>697</v>
      </c>
      <c r="D142" s="442" t="s">
        <v>871</v>
      </c>
    </row>
    <row r="143" spans="1:4">
      <c r="A143" s="104" t="str">
        <f t="shared" si="3"/>
        <v>Cavallo &gt; 180 g, &gt; 148cm*</v>
      </c>
      <c r="B143" s="104" t="s">
        <v>287</v>
      </c>
      <c r="C143" s="6" t="s">
        <v>275</v>
      </c>
      <c r="D143" s="442" t="s">
        <v>281</v>
      </c>
    </row>
    <row r="144" spans="1:4">
      <c r="A144" s="104" t="str">
        <f t="shared" si="3"/>
        <v>Cavallo &lt; 180 g, &gt; 148cm*</v>
      </c>
      <c r="B144" s="104" t="s">
        <v>288</v>
      </c>
      <c r="C144" s="6" t="s">
        <v>276</v>
      </c>
      <c r="D144" s="442" t="s">
        <v>280</v>
      </c>
    </row>
    <row r="145" spans="1:4">
      <c r="A145" s="104" t="str">
        <f t="shared" si="3"/>
        <v>Muli o bardotti &lt; 180 g, indip altezza al garrese</v>
      </c>
      <c r="B145" s="104" t="s">
        <v>285</v>
      </c>
      <c r="C145" s="6" t="s">
        <v>277</v>
      </c>
      <c r="D145" s="442" t="s">
        <v>282</v>
      </c>
    </row>
    <row r="146" spans="1:4">
      <c r="A146" s="104" t="str">
        <f t="shared" si="3"/>
        <v>Muli o bardotti &gt; 180 g, indip altezza al garrese</v>
      </c>
      <c r="B146" s="104" t="s">
        <v>286</v>
      </c>
      <c r="C146" s="6" t="s">
        <v>278</v>
      </c>
      <c r="D146" s="442" t="s">
        <v>283</v>
      </c>
    </row>
    <row r="147" spans="1:4">
      <c r="A147" s="104" t="str">
        <f t="shared" si="3"/>
        <v>Pony**, piccoli cavalli e asini di agni età, &lt; 148 cm</v>
      </c>
      <c r="B147" s="104" t="s">
        <v>289</v>
      </c>
      <c r="C147" s="6" t="s">
        <v>279</v>
      </c>
      <c r="D147" s="442" t="s">
        <v>284</v>
      </c>
    </row>
    <row r="148" spans="1:4">
      <c r="A148" s="104" t="str">
        <f t="shared" si="3"/>
        <v>Capra (incl. bestiame giovane e parte del becco)</v>
      </c>
      <c r="B148" s="6" t="s">
        <v>484</v>
      </c>
      <c r="C148" s="6" t="s">
        <v>698</v>
      </c>
      <c r="D148" s="442" t="s">
        <v>1023</v>
      </c>
    </row>
    <row r="149" spans="1:4">
      <c r="A149" s="104" t="str">
        <f t="shared" si="3"/>
        <v>Pecora (incl. bestiame giovane e parte dell’ariete)</v>
      </c>
      <c r="B149" s="6" t="s">
        <v>485</v>
      </c>
      <c r="C149" s="6" t="s">
        <v>699</v>
      </c>
      <c r="D149" s="442" t="s">
        <v>1024</v>
      </c>
    </row>
    <row r="150" spans="1:4">
      <c r="A150" s="104" t="str">
        <f t="shared" si="3"/>
        <v>Pecore da latte (incl. bestiame giovane)</v>
      </c>
      <c r="B150" s="6" t="s">
        <v>391</v>
      </c>
      <c r="C150" s="6" t="s">
        <v>421</v>
      </c>
      <c r="D150" s="442" t="s">
        <v>1025</v>
      </c>
    </row>
    <row r="151" spans="1:4">
      <c r="A151" s="104" t="str">
        <f t="shared" si="3"/>
        <v>Agnelli e capretti da ingrasso al pascolo</v>
      </c>
      <c r="B151" s="6" t="s">
        <v>535</v>
      </c>
      <c r="C151" s="6" t="s">
        <v>420</v>
      </c>
      <c r="D151" s="442" t="s">
        <v>872</v>
      </c>
    </row>
    <row r="152" spans="1:4">
      <c r="A152" s="104" t="str">
        <f t="shared" si="3"/>
        <v>Daini, incl. bestiame giovane, 1 unità=2 animali</v>
      </c>
      <c r="B152" s="6" t="s">
        <v>488</v>
      </c>
      <c r="C152" s="104" t="s">
        <v>753</v>
      </c>
      <c r="D152" s="442" t="s">
        <v>873</v>
      </c>
    </row>
    <row r="153" spans="1:4">
      <c r="A153" s="104" t="str">
        <f t="shared" ref="A153:A191" si="4">IF($A$2=1,B153,IF($A$2=2,C153,IF($A$2=3,D153,"")))</f>
        <v>Cervi, incl. bestiame giovane, 1 unità=2 animali</v>
      </c>
      <c r="B153" s="6" t="s">
        <v>486</v>
      </c>
      <c r="C153" s="104" t="s">
        <v>754</v>
      </c>
      <c r="D153" s="442" t="s">
        <v>883</v>
      </c>
    </row>
    <row r="154" spans="1:4">
      <c r="A154" s="104" t="str">
        <f t="shared" si="4"/>
        <v>Wapiti, incl. bestiame giovane, 1 unità=2 animali</v>
      </c>
      <c r="B154" s="6" t="s">
        <v>487</v>
      </c>
      <c r="C154" s="104" t="s">
        <v>756</v>
      </c>
      <c r="D154" s="442" t="s">
        <v>884</v>
      </c>
    </row>
    <row r="155" spans="1:4">
      <c r="A155" s="104" t="str">
        <f t="shared" si="4"/>
        <v>Bisonti di oltre 900 giorni</v>
      </c>
      <c r="B155" s="104" t="s">
        <v>290</v>
      </c>
      <c r="C155" s="104" t="s">
        <v>293</v>
      </c>
      <c r="D155" s="442" t="s">
        <v>294</v>
      </c>
    </row>
    <row r="156" spans="1:4">
      <c r="A156" s="104" t="str">
        <f t="shared" si="4"/>
        <v>Bisonti fino a 900 giorni</v>
      </c>
      <c r="B156" s="104" t="s">
        <v>291</v>
      </c>
      <c r="C156" s="104" t="s">
        <v>292</v>
      </c>
      <c r="D156" s="442" t="s">
        <v>295</v>
      </c>
    </row>
    <row r="157" spans="1:4">
      <c r="A157" s="104" t="str">
        <f t="shared" si="4"/>
        <v>Lama di oltre 2 anni</v>
      </c>
      <c r="B157" s="6" t="s">
        <v>545</v>
      </c>
      <c r="C157" s="6" t="s">
        <v>550</v>
      </c>
      <c r="D157" s="442" t="s">
        <v>885</v>
      </c>
    </row>
    <row r="158" spans="1:4">
      <c r="A158" s="104" t="str">
        <f t="shared" si="4"/>
        <v>Lama al di sotto dei 2 anni</v>
      </c>
      <c r="B158" s="6" t="s">
        <v>546</v>
      </c>
      <c r="C158" s="6" t="s">
        <v>551</v>
      </c>
      <c r="D158" s="442" t="s">
        <v>886</v>
      </c>
    </row>
    <row r="159" spans="1:4">
      <c r="A159" s="104" t="str">
        <f t="shared" si="4"/>
        <v>Alpaca di oltre 2 anni</v>
      </c>
      <c r="B159" s="6" t="s">
        <v>547</v>
      </c>
      <c r="C159" s="6" t="s">
        <v>552</v>
      </c>
      <c r="D159" s="442" t="s">
        <v>887</v>
      </c>
    </row>
    <row r="160" spans="1:4">
      <c r="A160" s="104" t="str">
        <f t="shared" si="4"/>
        <v>Alpaca al di sotto dei 2 anni</v>
      </c>
      <c r="B160" s="6" t="s">
        <v>548</v>
      </c>
      <c r="C160" s="6" t="s">
        <v>422</v>
      </c>
      <c r="D160" s="442" t="s">
        <v>888</v>
      </c>
    </row>
    <row r="161" spans="1:4">
      <c r="A161" s="104" t="str">
        <f t="shared" si="4"/>
        <v>Altre categorie di animali con consumo di FB</v>
      </c>
      <c r="B161" s="6" t="s">
        <v>597</v>
      </c>
      <c r="C161" s="6" t="s">
        <v>709</v>
      </c>
      <c r="D161" s="442" t="s">
        <v>889</v>
      </c>
    </row>
    <row r="162" spans="1:4">
      <c r="A162" s="104" t="str">
        <f t="shared" si="4"/>
        <v>Erba da</v>
      </c>
      <c r="B162" s="6" t="s">
        <v>1165</v>
      </c>
      <c r="C162" s="6" t="s">
        <v>1228</v>
      </c>
      <c r="D162" s="442" t="s">
        <v>1043</v>
      </c>
    </row>
    <row r="163" spans="1:4">
      <c r="A163" s="104" t="str">
        <f t="shared" si="4"/>
        <v>prati e pascoli</v>
      </c>
      <c r="B163" s="6" t="s">
        <v>1166</v>
      </c>
      <c r="C163" s="6" t="s">
        <v>638</v>
      </c>
      <c r="D163" s="442" t="s">
        <v>1044</v>
      </c>
    </row>
    <row r="164" spans="1:4">
      <c r="A164" s="104" t="str">
        <f t="shared" si="4"/>
        <v>Coniglie madre incl. animali giovani fino a 35 g.</v>
      </c>
      <c r="B164" s="6" t="s">
        <v>757</v>
      </c>
      <c r="C164" s="6" t="s">
        <v>428</v>
      </c>
      <c r="D164" s="442" t="s">
        <v>1033</v>
      </c>
    </row>
    <row r="165" spans="1:4">
      <c r="A165" s="104" t="str">
        <f t="shared" si="4"/>
        <v>Conigli: animali giovani (da circa 35 g.)</v>
      </c>
      <c r="B165" s="6" t="s">
        <v>758</v>
      </c>
      <c r="C165" s="104" t="s">
        <v>759</v>
      </c>
      <c r="D165" s="442" t="s">
        <v>1034</v>
      </c>
    </row>
    <row r="166" spans="1:4">
      <c r="A166" s="104" t="str">
        <f t="shared" si="4"/>
        <v>Struzzi &gt; 13 mesi</v>
      </c>
      <c r="B166" s="6" t="s">
        <v>201</v>
      </c>
      <c r="C166" s="6" t="s">
        <v>404</v>
      </c>
      <c r="D166" s="442" t="s">
        <v>890</v>
      </c>
    </row>
    <row r="167" spans="1:4">
      <c r="A167" s="104" t="str">
        <f t="shared" si="4"/>
        <v>Struzzi &lt; 13 mesi</v>
      </c>
      <c r="B167" s="6" t="s">
        <v>202</v>
      </c>
      <c r="C167" s="6" t="s">
        <v>405</v>
      </c>
      <c r="D167" s="442" t="s">
        <v>899</v>
      </c>
    </row>
    <row r="168" spans="1:4">
      <c r="A168" s="104" t="str">
        <f t="shared" si="4"/>
        <v>Posta suini da ingrasso / rimonte (25-100 kg)</v>
      </c>
      <c r="B168" s="6" t="s">
        <v>598</v>
      </c>
      <c r="C168" s="6" t="s">
        <v>599</v>
      </c>
      <c r="D168" s="442" t="s">
        <v>900</v>
      </c>
    </row>
    <row r="169" spans="1:4">
      <c r="A169" s="104" t="str">
        <f t="shared" si="4"/>
        <v>Suini da ingrasso / rimonte (25-100 kg)</v>
      </c>
      <c r="B169" s="6" t="s">
        <v>494</v>
      </c>
      <c r="C169" s="6" t="s">
        <v>489</v>
      </c>
      <c r="D169" s="442" t="s">
        <v>901</v>
      </c>
    </row>
    <row r="170" spans="1:4">
      <c r="A170" s="104" t="str">
        <f t="shared" si="4"/>
        <v>Suini da allevamento incl. suinetti 25-30 kg</v>
      </c>
      <c r="B170" s="6" t="s">
        <v>493</v>
      </c>
      <c r="C170" s="6" t="s">
        <v>602</v>
      </c>
      <c r="D170" s="442" t="s">
        <v>902</v>
      </c>
    </row>
    <row r="171" spans="1:4">
      <c r="A171" s="104" t="str">
        <f t="shared" si="4"/>
        <v>Posta da scrofa in asciutta</v>
      </c>
      <c r="B171" s="6" t="s">
        <v>600</v>
      </c>
      <c r="C171" s="6" t="s">
        <v>423</v>
      </c>
      <c r="D171" s="442" t="s">
        <v>903</v>
      </c>
    </row>
    <row r="172" spans="1:4">
      <c r="A172" s="104" t="str">
        <f t="shared" si="4"/>
        <v>Scrofe in asciutta, per ciclo</v>
      </c>
      <c r="B172" s="6" t="s">
        <v>490</v>
      </c>
      <c r="C172" s="6" t="s">
        <v>424</v>
      </c>
      <c r="D172" s="442" t="s">
        <v>904</v>
      </c>
    </row>
    <row r="173" spans="1:4">
      <c r="A173" s="104" t="str">
        <f t="shared" si="4"/>
        <v>Scrofe riproduttrici, in lattazione</v>
      </c>
      <c r="B173" s="6" t="s">
        <v>516</v>
      </c>
      <c r="C173" s="6" t="s">
        <v>425</v>
      </c>
      <c r="D173" s="442" t="s">
        <v>905</v>
      </c>
    </row>
    <row r="174" spans="1:4">
      <c r="A174" s="104" t="str">
        <f t="shared" si="4"/>
        <v>Scrofe riproduttrici, in lattazione, per ciclo</v>
      </c>
      <c r="B174" s="6" t="s">
        <v>491</v>
      </c>
      <c r="C174" s="6" t="s">
        <v>426</v>
      </c>
      <c r="D174" s="442" t="s">
        <v>906</v>
      </c>
    </row>
    <row r="175" spans="1:4">
      <c r="A175" s="104" t="str">
        <f t="shared" si="4"/>
        <v>Verri da allevamento</v>
      </c>
      <c r="B175" s="6" t="s">
        <v>515</v>
      </c>
      <c r="C175" s="6" t="s">
        <v>427</v>
      </c>
      <c r="D175" s="442" t="s">
        <v>907</v>
      </c>
    </row>
    <row r="176" spans="1:4">
      <c r="A176" s="104" t="str">
        <f t="shared" si="4"/>
        <v>Suinetti svezzati fino a 25-30 kg</v>
      </c>
      <c r="B176" s="6" t="s">
        <v>492</v>
      </c>
      <c r="C176" s="6" t="s">
        <v>406</v>
      </c>
      <c r="D176" s="442" t="s">
        <v>908</v>
      </c>
    </row>
    <row r="177" spans="1:256">
      <c r="A177" s="104" t="str">
        <f t="shared" si="4"/>
        <v>Suinetti svezzati fino a 25-30 kg</v>
      </c>
      <c r="B177" s="6" t="s">
        <v>492</v>
      </c>
      <c r="C177" s="6" t="s">
        <v>406</v>
      </c>
      <c r="D177" s="442" t="s">
        <v>908</v>
      </c>
    </row>
    <row r="178" spans="1:256">
      <c r="A178" s="104" t="str">
        <f t="shared" si="4"/>
        <v>Prova necessaria!</v>
      </c>
      <c r="B178" s="6" t="s">
        <v>197</v>
      </c>
      <c r="C178" s="6" t="s">
        <v>700</v>
      </c>
      <c r="D178" s="442" t="s">
        <v>909</v>
      </c>
    </row>
    <row r="179" spans="1:256">
      <c r="A179" s="104" t="str">
        <f t="shared" si="4"/>
        <v>Consumo FB troppo elevato!</v>
      </c>
      <c r="B179" s="6" t="s">
        <v>601</v>
      </c>
      <c r="C179" s="476" t="s">
        <v>701</v>
      </c>
      <c r="D179" s="442" t="s">
        <v>910</v>
      </c>
    </row>
    <row r="180" spans="1:256">
      <c r="A180" s="104" t="str">
        <f t="shared" si="4"/>
        <v>Totale erba da prati/pascoli &gt; Consumo foraggio</v>
      </c>
      <c r="B180" s="6" t="s">
        <v>42</v>
      </c>
      <c r="C180" s="476" t="s">
        <v>43</v>
      </c>
      <c r="D180" s="656" t="s">
        <v>1045</v>
      </c>
    </row>
    <row r="181" spans="1:256">
      <c r="A181" s="104">
        <f t="shared" si="4"/>
        <v>0</v>
      </c>
      <c r="B181" s="516" t="s">
        <v>274</v>
      </c>
      <c r="C181" s="476"/>
      <c r="D181" s="656"/>
    </row>
    <row r="182" spans="1:256">
      <c r="A182" s="104" t="str">
        <f t="shared" si="4"/>
        <v>Azienda di base</v>
      </c>
      <c r="B182" s="6" t="s">
        <v>255</v>
      </c>
      <c r="C182" s="476" t="s">
        <v>256</v>
      </c>
      <c r="D182" s="658" t="s">
        <v>938</v>
      </c>
    </row>
    <row r="183" spans="1:256" s="104" customFormat="1">
      <c r="A183" s="104" t="str">
        <f t="shared" si="4"/>
        <v>A1: consumo foraggio di base, tutti gli animali</v>
      </c>
      <c r="B183" s="6" t="s">
        <v>184</v>
      </c>
      <c r="C183" s="581" t="s">
        <v>711</v>
      </c>
      <c r="D183" s="442" t="s">
        <v>1046</v>
      </c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06"/>
      <c r="DF183" s="106"/>
      <c r="DG183" s="106"/>
      <c r="DH183" s="106"/>
      <c r="DI183" s="106"/>
      <c r="DJ183" s="106"/>
      <c r="DK183" s="106"/>
      <c r="DL183" s="106"/>
      <c r="DM183" s="106"/>
      <c r="DN183" s="106"/>
      <c r="DO183" s="106"/>
      <c r="DP183" s="106"/>
      <c r="DQ183" s="106"/>
      <c r="DR183" s="106"/>
      <c r="DS183" s="106"/>
      <c r="DT183" s="106"/>
      <c r="DU183" s="106"/>
      <c r="DV183" s="106"/>
      <c r="DW183" s="106"/>
      <c r="DX183" s="106"/>
      <c r="DY183" s="106"/>
      <c r="DZ183" s="106"/>
      <c r="EA183" s="106"/>
      <c r="EB183" s="106"/>
      <c r="EC183" s="106"/>
      <c r="ED183" s="106"/>
      <c r="EE183" s="106"/>
      <c r="EF183" s="106"/>
      <c r="EG183" s="106"/>
      <c r="EH183" s="106"/>
      <c r="EI183" s="106"/>
      <c r="EJ183" s="106"/>
      <c r="EK183" s="106"/>
      <c r="EL183" s="106"/>
      <c r="EM183" s="106"/>
      <c r="EN183" s="106"/>
      <c r="EO183" s="106"/>
      <c r="EP183" s="106"/>
      <c r="EQ183" s="106"/>
      <c r="ER183" s="106"/>
      <c r="ES183" s="106"/>
      <c r="ET183" s="106"/>
      <c r="EU183" s="106"/>
      <c r="EV183" s="106"/>
      <c r="EW183" s="106"/>
      <c r="EX183" s="106"/>
      <c r="EY183" s="106"/>
      <c r="EZ183" s="106"/>
      <c r="FA183" s="106"/>
      <c r="FB183" s="106"/>
      <c r="FC183" s="106"/>
      <c r="FD183" s="106"/>
      <c r="FE183" s="106"/>
      <c r="FF183" s="106"/>
      <c r="FG183" s="106"/>
      <c r="FH183" s="106"/>
      <c r="FI183" s="106"/>
      <c r="FJ183" s="106"/>
      <c r="FK183" s="106"/>
      <c r="FL183" s="106"/>
      <c r="FM183" s="106"/>
      <c r="FN183" s="106"/>
      <c r="FO183" s="106"/>
      <c r="FP183" s="106"/>
      <c r="FQ183" s="106"/>
      <c r="FR183" s="106"/>
      <c r="FS183" s="106"/>
      <c r="FT183" s="106"/>
      <c r="FU183" s="106"/>
      <c r="FV183" s="106"/>
      <c r="FW183" s="106"/>
      <c r="FX183" s="106"/>
      <c r="FY183" s="106"/>
      <c r="FZ183" s="106"/>
      <c r="GA183" s="106"/>
      <c r="GB183" s="106"/>
      <c r="GC183" s="106"/>
      <c r="GD183" s="106"/>
      <c r="GE183" s="106"/>
      <c r="GF183" s="106"/>
      <c r="GG183" s="106"/>
      <c r="GH183" s="106"/>
      <c r="GI183" s="106"/>
      <c r="GJ183" s="106"/>
      <c r="GK183" s="106"/>
      <c r="GL183" s="106"/>
      <c r="GM183" s="106"/>
      <c r="GN183" s="106"/>
      <c r="GO183" s="106"/>
      <c r="GP183" s="106"/>
      <c r="GQ183" s="106"/>
      <c r="GR183" s="106"/>
      <c r="GS183" s="106"/>
      <c r="GT183" s="106"/>
      <c r="GU183" s="106"/>
      <c r="GV183" s="106"/>
      <c r="GW183" s="106"/>
      <c r="GX183" s="106"/>
      <c r="GY183" s="106"/>
      <c r="GZ183" s="106"/>
      <c r="HA183" s="106"/>
      <c r="HB183" s="106"/>
      <c r="HC183" s="106"/>
      <c r="HD183" s="106"/>
      <c r="HE183" s="106"/>
      <c r="HF183" s="106"/>
      <c r="HG183" s="106"/>
      <c r="HH183" s="106"/>
      <c r="HI183" s="106"/>
      <c r="HJ183" s="106"/>
      <c r="HK183" s="106"/>
      <c r="HL183" s="106"/>
      <c r="HM183" s="106"/>
      <c r="HN183" s="106"/>
      <c r="HO183" s="106"/>
      <c r="HP183" s="106"/>
      <c r="HQ183" s="106"/>
      <c r="HR183" s="106"/>
      <c r="HS183" s="106"/>
      <c r="HT183" s="106"/>
      <c r="HU183" s="106"/>
      <c r="HV183" s="106"/>
      <c r="HW183" s="106"/>
      <c r="HX183" s="106"/>
      <c r="HY183" s="106"/>
      <c r="HZ183" s="106"/>
      <c r="IA183" s="106"/>
      <c r="IB183" s="106"/>
      <c r="IC183" s="106"/>
      <c r="ID183" s="106"/>
      <c r="IE183" s="106"/>
      <c r="IF183" s="106"/>
      <c r="IG183" s="106"/>
      <c r="IH183" s="106"/>
      <c r="II183" s="106"/>
      <c r="IJ183" s="106"/>
      <c r="IK183" s="106"/>
      <c r="IL183" s="106"/>
      <c r="IM183" s="106"/>
      <c r="IN183" s="106"/>
      <c r="IO183" s="106"/>
      <c r="IP183" s="106"/>
      <c r="IQ183" s="106"/>
      <c r="IR183" s="106"/>
      <c r="IS183" s="106"/>
      <c r="IT183" s="106"/>
      <c r="IU183" s="106"/>
      <c r="IV183" s="106"/>
    </row>
    <row r="184" spans="1:256" s="104" customFormat="1">
      <c r="A184" s="104" t="str">
        <f t="shared" si="4"/>
        <v xml:space="preserve">A2: consumo foraggio di base, animali che consumano foraggio grezzo </v>
      </c>
      <c r="B184" s="6" t="s">
        <v>198</v>
      </c>
      <c r="C184" s="581" t="s">
        <v>712</v>
      </c>
      <c r="D184" s="442" t="s">
        <v>1047</v>
      </c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  <c r="BX184" s="106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6"/>
      <c r="DE184" s="106"/>
      <c r="DF184" s="106"/>
      <c r="DG184" s="106"/>
      <c r="DH184" s="106"/>
      <c r="DI184" s="106"/>
      <c r="DJ184" s="106"/>
      <c r="DK184" s="106"/>
      <c r="DL184" s="106"/>
      <c r="DM184" s="106"/>
      <c r="DN184" s="106"/>
      <c r="DO184" s="106"/>
      <c r="DP184" s="106"/>
      <c r="DQ184" s="106"/>
      <c r="DR184" s="106"/>
      <c r="DS184" s="106"/>
      <c r="DT184" s="106"/>
      <c r="DU184" s="106"/>
      <c r="DV184" s="106"/>
      <c r="DW184" s="106"/>
      <c r="DX184" s="106"/>
      <c r="DY184" s="106"/>
      <c r="DZ184" s="106"/>
      <c r="EA184" s="106"/>
      <c r="EB184" s="106"/>
      <c r="EC184" s="106"/>
      <c r="ED184" s="106"/>
      <c r="EE184" s="106"/>
      <c r="EF184" s="106"/>
      <c r="EG184" s="106"/>
      <c r="EH184" s="106"/>
      <c r="EI184" s="106"/>
      <c r="EJ184" s="106"/>
      <c r="EK184" s="106"/>
      <c r="EL184" s="106"/>
      <c r="EM184" s="106"/>
      <c r="EN184" s="106"/>
      <c r="EO184" s="106"/>
      <c r="EP184" s="106"/>
      <c r="EQ184" s="106"/>
      <c r="ER184" s="106"/>
      <c r="ES184" s="106"/>
      <c r="ET184" s="106"/>
      <c r="EU184" s="106"/>
      <c r="EV184" s="106"/>
      <c r="EW184" s="106"/>
      <c r="EX184" s="106"/>
      <c r="EY184" s="106"/>
      <c r="EZ184" s="106"/>
      <c r="FA184" s="106"/>
      <c r="FB184" s="106"/>
      <c r="FC184" s="106"/>
      <c r="FD184" s="106"/>
      <c r="FE184" s="106"/>
      <c r="FF184" s="106"/>
      <c r="FG184" s="106"/>
      <c r="FH184" s="106"/>
      <c r="FI184" s="106"/>
      <c r="FJ184" s="106"/>
      <c r="FK184" s="106"/>
      <c r="FL184" s="106"/>
      <c r="FM184" s="106"/>
      <c r="FN184" s="106"/>
      <c r="FO184" s="106"/>
      <c r="FP184" s="106"/>
      <c r="FQ184" s="106"/>
      <c r="FR184" s="106"/>
      <c r="FS184" s="106"/>
      <c r="FT184" s="106"/>
      <c r="FU184" s="106"/>
      <c r="FV184" s="106"/>
      <c r="FW184" s="106"/>
      <c r="FX184" s="106"/>
      <c r="FY184" s="106"/>
      <c r="FZ184" s="106"/>
      <c r="GA184" s="106"/>
      <c r="GB184" s="106"/>
      <c r="GC184" s="106"/>
      <c r="GD184" s="106"/>
      <c r="GE184" s="106"/>
      <c r="GF184" s="106"/>
      <c r="GG184" s="106"/>
      <c r="GH184" s="106"/>
      <c r="GI184" s="106"/>
      <c r="GJ184" s="106"/>
      <c r="GK184" s="106"/>
      <c r="GL184" s="106"/>
      <c r="GM184" s="106"/>
      <c r="GN184" s="106"/>
      <c r="GO184" s="106"/>
      <c r="GP184" s="106"/>
      <c r="GQ184" s="106"/>
      <c r="GR184" s="106"/>
      <c r="GS184" s="106"/>
      <c r="GT184" s="106"/>
      <c r="GU184" s="106"/>
      <c r="GV184" s="106"/>
      <c r="GW184" s="106"/>
      <c r="GX184" s="106"/>
      <c r="GY184" s="106"/>
      <c r="GZ184" s="106"/>
      <c r="HA184" s="106"/>
      <c r="HB184" s="106"/>
      <c r="HC184" s="106"/>
      <c r="HD184" s="106"/>
      <c r="HE184" s="106"/>
      <c r="HF184" s="106"/>
      <c r="HG184" s="106"/>
      <c r="HH184" s="106"/>
      <c r="HI184" s="106"/>
      <c r="HJ184" s="106"/>
      <c r="HK184" s="106"/>
      <c r="HL184" s="106"/>
      <c r="HM184" s="106"/>
      <c r="HN184" s="106"/>
      <c r="HO184" s="106"/>
      <c r="HP184" s="106"/>
      <c r="HQ184" s="106"/>
      <c r="HR184" s="106"/>
      <c r="HS184" s="106"/>
      <c r="HT184" s="106"/>
      <c r="HU184" s="106"/>
      <c r="HV184" s="106"/>
      <c r="HW184" s="106"/>
      <c r="HX184" s="106"/>
      <c r="HY184" s="106"/>
      <c r="HZ184" s="106"/>
      <c r="IA184" s="106"/>
      <c r="IB184" s="106"/>
      <c r="IC184" s="106"/>
      <c r="ID184" s="106"/>
      <c r="IE184" s="106"/>
      <c r="IF184" s="106"/>
      <c r="IG184" s="106"/>
      <c r="IH184" s="106"/>
      <c r="II184" s="106"/>
      <c r="IJ184" s="106"/>
      <c r="IK184" s="106"/>
      <c r="IL184" s="106"/>
      <c r="IM184" s="106"/>
      <c r="IN184" s="106"/>
      <c r="IO184" s="106"/>
      <c r="IP184" s="106"/>
      <c r="IQ184" s="106"/>
      <c r="IR184" s="106"/>
      <c r="IS184" s="106"/>
      <c r="IT184" s="106"/>
      <c r="IU184" s="106"/>
      <c r="IV184" s="106"/>
    </row>
    <row r="185" spans="1:256" s="104" customFormat="1">
      <c r="A185" s="104" t="str">
        <f t="shared" si="4"/>
        <v>A3: consumo foraggio di prati/pascoli, altri animali</v>
      </c>
      <c r="B185" s="6" t="s">
        <v>839</v>
      </c>
      <c r="C185" s="581" t="s">
        <v>838</v>
      </c>
      <c r="D185" s="442" t="s">
        <v>1048</v>
      </c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  <c r="BV185" s="106"/>
      <c r="BW185" s="106"/>
      <c r="BX185" s="106"/>
      <c r="BY185" s="106"/>
      <c r="BZ185" s="106"/>
      <c r="CA185" s="106"/>
      <c r="CB185" s="106"/>
      <c r="CC185" s="106"/>
      <c r="CD185" s="106"/>
      <c r="CE185" s="106"/>
      <c r="CF185" s="106"/>
      <c r="CG185" s="106"/>
      <c r="CH185" s="106"/>
      <c r="CI185" s="106"/>
      <c r="CJ185" s="106"/>
      <c r="CK185" s="106"/>
      <c r="CL185" s="106"/>
      <c r="CM185" s="106"/>
      <c r="CN185" s="106"/>
      <c r="CO185" s="106"/>
      <c r="CP185" s="106"/>
      <c r="CQ185" s="106"/>
      <c r="CR185" s="106"/>
      <c r="CS185" s="106"/>
      <c r="CT185" s="106"/>
      <c r="CU185" s="106"/>
      <c r="CV185" s="106"/>
      <c r="CW185" s="106"/>
      <c r="CX185" s="106"/>
      <c r="CY185" s="106"/>
      <c r="CZ185" s="106"/>
      <c r="DA185" s="106"/>
      <c r="DB185" s="106"/>
      <c r="DC185" s="106"/>
      <c r="DD185" s="106"/>
      <c r="DE185" s="106"/>
      <c r="DF185" s="106"/>
      <c r="DG185" s="106"/>
      <c r="DH185" s="106"/>
      <c r="DI185" s="106"/>
      <c r="DJ185" s="106"/>
      <c r="DK185" s="106"/>
      <c r="DL185" s="106"/>
      <c r="DM185" s="106"/>
      <c r="DN185" s="106"/>
      <c r="DO185" s="106"/>
      <c r="DP185" s="106"/>
      <c r="DQ185" s="106"/>
      <c r="DR185" s="106"/>
      <c r="DS185" s="106"/>
      <c r="DT185" s="106"/>
      <c r="DU185" s="106"/>
      <c r="DV185" s="106"/>
      <c r="DW185" s="106"/>
      <c r="DX185" s="106"/>
      <c r="DY185" s="106"/>
      <c r="DZ185" s="106"/>
      <c r="EA185" s="106"/>
      <c r="EB185" s="106"/>
      <c r="EC185" s="106"/>
      <c r="ED185" s="106"/>
      <c r="EE185" s="106"/>
      <c r="EF185" s="106"/>
      <c r="EG185" s="106"/>
      <c r="EH185" s="106"/>
      <c r="EI185" s="106"/>
      <c r="EJ185" s="106"/>
      <c r="EK185" s="106"/>
      <c r="EL185" s="106"/>
      <c r="EM185" s="106"/>
      <c r="EN185" s="106"/>
      <c r="EO185" s="106"/>
      <c r="EP185" s="106"/>
      <c r="EQ185" s="106"/>
      <c r="ER185" s="106"/>
      <c r="ES185" s="106"/>
      <c r="ET185" s="106"/>
      <c r="EU185" s="106"/>
      <c r="EV185" s="106"/>
      <c r="EW185" s="106"/>
      <c r="EX185" s="106"/>
      <c r="EY185" s="106"/>
      <c r="EZ185" s="106"/>
      <c r="FA185" s="106"/>
      <c r="FB185" s="106"/>
      <c r="FC185" s="106"/>
      <c r="FD185" s="106"/>
      <c r="FE185" s="106"/>
      <c r="FF185" s="106"/>
      <c r="FG185" s="106"/>
      <c r="FH185" s="106"/>
      <c r="FI185" s="106"/>
      <c r="FJ185" s="106"/>
      <c r="FK185" s="106"/>
      <c r="FL185" s="106"/>
      <c r="FM185" s="106"/>
      <c r="FN185" s="106"/>
      <c r="FO185" s="106"/>
      <c r="FP185" s="106"/>
      <c r="FQ185" s="106"/>
      <c r="FR185" s="106"/>
      <c r="FS185" s="106"/>
      <c r="FT185" s="106"/>
      <c r="FU185" s="106"/>
      <c r="FV185" s="106"/>
      <c r="FW185" s="106"/>
      <c r="FX185" s="106"/>
      <c r="FY185" s="106"/>
      <c r="FZ185" s="106"/>
      <c r="GA185" s="106"/>
      <c r="GB185" s="106"/>
      <c r="GC185" s="106"/>
      <c r="GD185" s="106"/>
      <c r="GE185" s="106"/>
      <c r="GF185" s="106"/>
      <c r="GG185" s="106"/>
      <c r="GH185" s="106"/>
      <c r="GI185" s="106"/>
      <c r="GJ185" s="106"/>
      <c r="GK185" s="106"/>
      <c r="GL185" s="106"/>
      <c r="GM185" s="106"/>
      <c r="GN185" s="106"/>
      <c r="GO185" s="106"/>
      <c r="GP185" s="106"/>
      <c r="GQ185" s="106"/>
      <c r="GR185" s="106"/>
      <c r="GS185" s="106"/>
      <c r="GT185" s="106"/>
      <c r="GU185" s="106"/>
      <c r="GV185" s="106"/>
      <c r="GW185" s="106"/>
      <c r="GX185" s="106"/>
      <c r="GY185" s="106"/>
      <c r="GZ185" s="106"/>
      <c r="HA185" s="106"/>
      <c r="HB185" s="106"/>
      <c r="HC185" s="106"/>
      <c r="HD185" s="106"/>
      <c r="HE185" s="106"/>
      <c r="HF185" s="106"/>
      <c r="HG185" s="106"/>
      <c r="HH185" s="106"/>
      <c r="HI185" s="106"/>
      <c r="HJ185" s="106"/>
      <c r="HK185" s="106"/>
      <c r="HL185" s="106"/>
      <c r="HM185" s="106"/>
      <c r="HN185" s="106"/>
      <c r="HO185" s="106"/>
      <c r="HP185" s="106"/>
      <c r="HQ185" s="106"/>
      <c r="HR185" s="106"/>
      <c r="HS185" s="106"/>
      <c r="HT185" s="106"/>
      <c r="HU185" s="106"/>
      <c r="HV185" s="106"/>
      <c r="HW185" s="106"/>
      <c r="HX185" s="106"/>
      <c r="HY185" s="106"/>
      <c r="HZ185" s="106"/>
      <c r="IA185" s="106"/>
      <c r="IB185" s="106"/>
      <c r="IC185" s="106"/>
      <c r="ID185" s="106"/>
      <c r="IE185" s="106"/>
      <c r="IF185" s="106"/>
      <c r="IG185" s="106"/>
      <c r="IH185" s="106"/>
      <c r="II185" s="106"/>
      <c r="IJ185" s="106"/>
      <c r="IK185" s="106"/>
      <c r="IL185" s="106"/>
      <c r="IM185" s="106"/>
      <c r="IN185" s="106"/>
      <c r="IO185" s="106"/>
      <c r="IP185" s="106"/>
      <c r="IQ185" s="106"/>
      <c r="IR185" s="106"/>
      <c r="IS185" s="106"/>
      <c r="IT185" s="106"/>
      <c r="IU185" s="106"/>
      <c r="IV185" s="106"/>
    </row>
    <row r="186" spans="1:256" s="104" customFormat="1">
      <c r="A186" s="104" t="str">
        <f t="shared" si="4"/>
        <v>A4: consumo foraggio concentrato, categorie aventi diritto</v>
      </c>
      <c r="B186" s="6" t="s">
        <v>185</v>
      </c>
      <c r="C186" s="581" t="s">
        <v>702</v>
      </c>
      <c r="D186" s="442" t="s">
        <v>1049</v>
      </c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  <c r="CE186" s="106"/>
      <c r="CF186" s="106"/>
      <c r="CG186" s="106"/>
      <c r="CH186" s="106"/>
      <c r="CI186" s="106"/>
      <c r="CJ186" s="106"/>
      <c r="CK186" s="106"/>
      <c r="CL186" s="106"/>
      <c r="CM186" s="106"/>
      <c r="CN186" s="106"/>
      <c r="CO186" s="106"/>
      <c r="CP186" s="106"/>
      <c r="CQ186" s="106"/>
      <c r="CR186" s="106"/>
      <c r="CS186" s="106"/>
      <c r="CT186" s="106"/>
      <c r="CU186" s="106"/>
      <c r="CV186" s="106"/>
      <c r="CW186" s="106"/>
      <c r="CX186" s="106"/>
      <c r="CY186" s="106"/>
      <c r="CZ186" s="106"/>
      <c r="DA186" s="106"/>
      <c r="DB186" s="106"/>
      <c r="DC186" s="106"/>
      <c r="DD186" s="106"/>
      <c r="DE186" s="106"/>
      <c r="DF186" s="106"/>
      <c r="DG186" s="106"/>
      <c r="DH186" s="106"/>
      <c r="DI186" s="106"/>
      <c r="DJ186" s="106"/>
      <c r="DK186" s="106"/>
      <c r="DL186" s="106"/>
      <c r="DM186" s="106"/>
      <c r="DN186" s="106"/>
      <c r="DO186" s="106"/>
      <c r="DP186" s="106"/>
      <c r="DQ186" s="106"/>
      <c r="DR186" s="106"/>
      <c r="DS186" s="106"/>
      <c r="DT186" s="106"/>
      <c r="DU186" s="106"/>
      <c r="DV186" s="106"/>
      <c r="DW186" s="106"/>
      <c r="DX186" s="106"/>
      <c r="DY186" s="106"/>
      <c r="DZ186" s="106"/>
      <c r="EA186" s="106"/>
      <c r="EB186" s="106"/>
      <c r="EC186" s="106"/>
      <c r="ED186" s="106"/>
      <c r="EE186" s="106"/>
      <c r="EF186" s="106"/>
      <c r="EG186" s="106"/>
      <c r="EH186" s="106"/>
      <c r="EI186" s="106"/>
      <c r="EJ186" s="106"/>
      <c r="EK186" s="106"/>
      <c r="EL186" s="106"/>
      <c r="EM186" s="106"/>
      <c r="EN186" s="106"/>
      <c r="EO186" s="106"/>
      <c r="EP186" s="106"/>
      <c r="EQ186" s="106"/>
      <c r="ER186" s="106"/>
      <c r="ES186" s="106"/>
      <c r="ET186" s="106"/>
      <c r="EU186" s="106"/>
      <c r="EV186" s="106"/>
      <c r="EW186" s="106"/>
      <c r="EX186" s="106"/>
      <c r="EY186" s="106"/>
      <c r="EZ186" s="106"/>
      <c r="FA186" s="106"/>
      <c r="FB186" s="106"/>
      <c r="FC186" s="106"/>
      <c r="FD186" s="106"/>
      <c r="FE186" s="106"/>
      <c r="FF186" s="106"/>
      <c r="FG186" s="106"/>
      <c r="FH186" s="106"/>
      <c r="FI186" s="106"/>
      <c r="FJ186" s="106"/>
      <c r="FK186" s="106"/>
      <c r="FL186" s="106"/>
      <c r="FM186" s="106"/>
      <c r="FN186" s="106"/>
      <c r="FO186" s="106"/>
      <c r="FP186" s="106"/>
      <c r="FQ186" s="106"/>
      <c r="FR186" s="106"/>
      <c r="FS186" s="106"/>
      <c r="FT186" s="106"/>
      <c r="FU186" s="106"/>
      <c r="FV186" s="106"/>
      <c r="FW186" s="106"/>
      <c r="FX186" s="106"/>
      <c r="FY186" s="106"/>
      <c r="FZ186" s="106"/>
      <c r="GA186" s="106"/>
      <c r="GB186" s="106"/>
      <c r="GC186" s="106"/>
      <c r="GD186" s="106"/>
      <c r="GE186" s="106"/>
      <c r="GF186" s="106"/>
      <c r="GG186" s="106"/>
      <c r="GH186" s="106"/>
      <c r="GI186" s="106"/>
      <c r="GJ186" s="106"/>
      <c r="GK186" s="106"/>
      <c r="GL186" s="106"/>
      <c r="GM186" s="106"/>
      <c r="GN186" s="106"/>
      <c r="GO186" s="106"/>
      <c r="GP186" s="106"/>
      <c r="GQ186" s="106"/>
      <c r="GR186" s="106"/>
      <c r="GS186" s="106"/>
      <c r="GT186" s="106"/>
      <c r="GU186" s="106"/>
      <c r="GV186" s="106"/>
      <c r="GW186" s="106"/>
      <c r="GX186" s="106"/>
      <c r="GY186" s="106"/>
      <c r="GZ186" s="106"/>
      <c r="HA186" s="106"/>
      <c r="HB186" s="106"/>
      <c r="HC186" s="106"/>
      <c r="HD186" s="106"/>
      <c r="HE186" s="106"/>
      <c r="HF186" s="106"/>
      <c r="HG186" s="106"/>
      <c r="HH186" s="106"/>
      <c r="HI186" s="106"/>
      <c r="HJ186" s="106"/>
      <c r="HK186" s="106"/>
      <c r="HL186" s="106"/>
      <c r="HM186" s="106"/>
      <c r="HN186" s="106"/>
      <c r="HO186" s="106"/>
      <c r="HP186" s="106"/>
      <c r="HQ186" s="106"/>
      <c r="HR186" s="106"/>
      <c r="HS186" s="106"/>
      <c r="HT186" s="106"/>
      <c r="HU186" s="106"/>
      <c r="HV186" s="106"/>
      <c r="HW186" s="106"/>
      <c r="HX186" s="106"/>
      <c r="HY186" s="106"/>
      <c r="HZ186" s="106"/>
      <c r="IA186" s="106"/>
      <c r="IB186" s="106"/>
      <c r="IC186" s="106"/>
      <c r="ID186" s="106"/>
      <c r="IE186" s="106"/>
      <c r="IF186" s="106"/>
      <c r="IG186" s="106"/>
      <c r="IH186" s="106"/>
      <c r="II186" s="106"/>
      <c r="IJ186" s="106"/>
      <c r="IK186" s="106"/>
      <c r="IL186" s="106"/>
      <c r="IM186" s="106"/>
      <c r="IN186" s="106"/>
      <c r="IO186" s="106"/>
      <c r="IP186" s="106"/>
      <c r="IQ186" s="106"/>
      <c r="IR186" s="106"/>
      <c r="IS186" s="106"/>
      <c r="IT186" s="106"/>
      <c r="IU186" s="106"/>
      <c r="IV186" s="106"/>
    </row>
    <row r="187" spans="1:256" s="104" customFormat="1">
      <c r="A187" s="104" t="str">
        <f t="shared" si="4"/>
        <v>A5: consumo totale, animali che consumano foraggio grezzo</v>
      </c>
      <c r="B187" s="6" t="s">
        <v>199</v>
      </c>
      <c r="C187" s="581" t="s">
        <v>708</v>
      </c>
      <c r="D187" s="442" t="s">
        <v>1050</v>
      </c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106"/>
      <c r="CJ187" s="106"/>
      <c r="CK187" s="106"/>
      <c r="CL187" s="106"/>
      <c r="CM187" s="106"/>
      <c r="CN187" s="106"/>
      <c r="CO187" s="106"/>
      <c r="CP187" s="106"/>
      <c r="CQ187" s="106"/>
      <c r="CR187" s="106"/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106"/>
      <c r="DC187" s="106"/>
      <c r="DD187" s="106"/>
      <c r="DE187" s="106"/>
      <c r="DF187" s="106"/>
      <c r="DG187" s="106"/>
      <c r="DH187" s="106"/>
      <c r="DI187" s="106"/>
      <c r="DJ187" s="106"/>
      <c r="DK187" s="106"/>
      <c r="DL187" s="106"/>
      <c r="DM187" s="106"/>
      <c r="DN187" s="106"/>
      <c r="DO187" s="106"/>
      <c r="DP187" s="106"/>
      <c r="DQ187" s="106"/>
      <c r="DR187" s="106"/>
      <c r="DS187" s="106"/>
      <c r="DT187" s="106"/>
      <c r="DU187" s="106"/>
      <c r="DV187" s="106"/>
      <c r="DW187" s="106"/>
      <c r="DX187" s="106"/>
      <c r="DY187" s="106"/>
      <c r="DZ187" s="106"/>
      <c r="EA187" s="106"/>
      <c r="EB187" s="106"/>
      <c r="EC187" s="106"/>
      <c r="ED187" s="106"/>
      <c r="EE187" s="106"/>
      <c r="EF187" s="106"/>
      <c r="EG187" s="106"/>
      <c r="EH187" s="106"/>
      <c r="EI187" s="106"/>
      <c r="EJ187" s="106"/>
      <c r="EK187" s="106"/>
      <c r="EL187" s="106"/>
      <c r="EM187" s="106"/>
      <c r="EN187" s="106"/>
      <c r="EO187" s="106"/>
      <c r="EP187" s="106"/>
      <c r="EQ187" s="106"/>
      <c r="ER187" s="106"/>
      <c r="ES187" s="106"/>
      <c r="ET187" s="106"/>
      <c r="EU187" s="106"/>
      <c r="EV187" s="106"/>
      <c r="EW187" s="106"/>
      <c r="EX187" s="106"/>
      <c r="EY187" s="106"/>
      <c r="EZ187" s="106"/>
      <c r="FA187" s="106"/>
      <c r="FB187" s="106"/>
      <c r="FC187" s="106"/>
      <c r="FD187" s="106"/>
      <c r="FE187" s="106"/>
      <c r="FF187" s="106"/>
      <c r="FG187" s="106"/>
      <c r="FH187" s="106"/>
      <c r="FI187" s="106"/>
      <c r="FJ187" s="106"/>
      <c r="FK187" s="106"/>
      <c r="FL187" s="106"/>
      <c r="FM187" s="106"/>
      <c r="FN187" s="106"/>
      <c r="FO187" s="106"/>
      <c r="FP187" s="106"/>
      <c r="FQ187" s="106"/>
      <c r="FR187" s="106"/>
      <c r="FS187" s="106"/>
      <c r="FT187" s="106"/>
      <c r="FU187" s="106"/>
      <c r="FV187" s="106"/>
      <c r="FW187" s="106"/>
      <c r="FX187" s="106"/>
      <c r="FY187" s="106"/>
      <c r="FZ187" s="106"/>
      <c r="GA187" s="106"/>
      <c r="GB187" s="106"/>
      <c r="GC187" s="106"/>
      <c r="GD187" s="106"/>
      <c r="GE187" s="106"/>
      <c r="GF187" s="106"/>
      <c r="GG187" s="106"/>
      <c r="GH187" s="106"/>
      <c r="GI187" s="106"/>
      <c r="GJ187" s="106"/>
      <c r="GK187" s="106"/>
      <c r="GL187" s="106"/>
      <c r="GM187" s="106"/>
      <c r="GN187" s="106"/>
      <c r="GO187" s="106"/>
      <c r="GP187" s="106"/>
      <c r="GQ187" s="106"/>
      <c r="GR187" s="106"/>
      <c r="GS187" s="106"/>
      <c r="GT187" s="106"/>
      <c r="GU187" s="106"/>
      <c r="GV187" s="106"/>
      <c r="GW187" s="106"/>
      <c r="GX187" s="106"/>
      <c r="GY187" s="106"/>
      <c r="GZ187" s="106"/>
      <c r="HA187" s="106"/>
      <c r="HB187" s="106"/>
      <c r="HC187" s="106"/>
      <c r="HD187" s="106"/>
      <c r="HE187" s="106"/>
      <c r="HF187" s="106"/>
      <c r="HG187" s="106"/>
      <c r="HH187" s="106"/>
      <c r="HI187" s="106"/>
      <c r="HJ187" s="106"/>
      <c r="HK187" s="106"/>
      <c r="HL187" s="106"/>
      <c r="HM187" s="106"/>
      <c r="HN187" s="106"/>
      <c r="HO187" s="106"/>
      <c r="HP187" s="106"/>
      <c r="HQ187" s="106"/>
      <c r="HR187" s="106"/>
      <c r="HS187" s="106"/>
      <c r="HT187" s="106"/>
      <c r="HU187" s="106"/>
      <c r="HV187" s="106"/>
      <c r="HW187" s="106"/>
      <c r="HX187" s="106"/>
      <c r="HY187" s="106"/>
      <c r="HZ187" s="106"/>
      <c r="IA187" s="106"/>
      <c r="IB187" s="106"/>
      <c r="IC187" s="106"/>
      <c r="ID187" s="106"/>
      <c r="IE187" s="106"/>
      <c r="IF187" s="106"/>
      <c r="IG187" s="106"/>
      <c r="IH187" s="106"/>
      <c r="II187" s="106"/>
      <c r="IJ187" s="106"/>
      <c r="IK187" s="106"/>
      <c r="IL187" s="106"/>
      <c r="IM187" s="106"/>
      <c r="IN187" s="106"/>
      <c r="IO187" s="106"/>
      <c r="IP187" s="106"/>
      <c r="IQ187" s="106"/>
      <c r="IR187" s="106"/>
      <c r="IS187" s="106"/>
      <c r="IT187" s="106"/>
      <c r="IU187" s="106"/>
      <c r="IV187" s="106"/>
    </row>
    <row r="188" spans="1:256" s="104" customFormat="1">
      <c r="A188" s="104" t="str">
        <f t="shared" si="4"/>
        <v>Estivazione</v>
      </c>
      <c r="B188" s="6" t="s">
        <v>233</v>
      </c>
      <c r="C188" s="476" t="s">
        <v>234</v>
      </c>
      <c r="D188" s="656" t="s">
        <v>235</v>
      </c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  <c r="BV188" s="106"/>
      <c r="BW188" s="106"/>
      <c r="BX188" s="106"/>
      <c r="BY188" s="106"/>
      <c r="BZ188" s="106"/>
      <c r="CA188" s="106"/>
      <c r="CB188" s="106"/>
      <c r="CC188" s="106"/>
      <c r="CD188" s="106"/>
      <c r="CE188" s="106"/>
      <c r="CF188" s="106"/>
      <c r="CG188" s="106"/>
      <c r="CH188" s="106"/>
      <c r="CI188" s="106"/>
      <c r="CJ188" s="106"/>
      <c r="CK188" s="106"/>
      <c r="CL188" s="106"/>
      <c r="CM188" s="106"/>
      <c r="CN188" s="106"/>
      <c r="CO188" s="106"/>
      <c r="CP188" s="106"/>
      <c r="CQ188" s="106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106"/>
      <c r="DC188" s="106"/>
      <c r="DD188" s="106"/>
      <c r="DE188" s="106"/>
      <c r="DF188" s="106"/>
      <c r="DG188" s="106"/>
      <c r="DH188" s="106"/>
      <c r="DI188" s="106"/>
      <c r="DJ188" s="106"/>
      <c r="DK188" s="106"/>
      <c r="DL188" s="106"/>
      <c r="DM188" s="106"/>
      <c r="DN188" s="106"/>
      <c r="DO188" s="106"/>
      <c r="DP188" s="106"/>
      <c r="DQ188" s="106"/>
      <c r="DR188" s="106"/>
      <c r="DS188" s="106"/>
      <c r="DT188" s="106"/>
      <c r="DU188" s="106"/>
      <c r="DV188" s="106"/>
      <c r="DW188" s="106"/>
      <c r="DX188" s="106"/>
      <c r="DY188" s="106"/>
      <c r="DZ188" s="106"/>
      <c r="EA188" s="106"/>
      <c r="EB188" s="106"/>
      <c r="EC188" s="106"/>
      <c r="ED188" s="106"/>
      <c r="EE188" s="106"/>
      <c r="EF188" s="106"/>
      <c r="EG188" s="106"/>
      <c r="EH188" s="106"/>
      <c r="EI188" s="106"/>
      <c r="EJ188" s="106"/>
      <c r="EK188" s="106"/>
      <c r="EL188" s="106"/>
      <c r="EM188" s="106"/>
      <c r="EN188" s="106"/>
      <c r="EO188" s="106"/>
      <c r="EP188" s="106"/>
      <c r="EQ188" s="106"/>
      <c r="ER188" s="106"/>
      <c r="ES188" s="106"/>
      <c r="ET188" s="106"/>
      <c r="EU188" s="106"/>
      <c r="EV188" s="106"/>
      <c r="EW188" s="106"/>
      <c r="EX188" s="106"/>
      <c r="EY188" s="106"/>
      <c r="EZ188" s="106"/>
      <c r="FA188" s="106"/>
      <c r="FB188" s="106"/>
      <c r="FC188" s="106"/>
      <c r="FD188" s="106"/>
      <c r="FE188" s="106"/>
      <c r="FF188" s="106"/>
      <c r="FG188" s="106"/>
      <c r="FH188" s="106"/>
      <c r="FI188" s="106"/>
      <c r="FJ188" s="106"/>
      <c r="FK188" s="106"/>
      <c r="FL188" s="106"/>
      <c r="FM188" s="106"/>
      <c r="FN188" s="106"/>
      <c r="FO188" s="106"/>
      <c r="FP188" s="106"/>
      <c r="FQ188" s="106"/>
      <c r="FR188" s="106"/>
      <c r="FS188" s="106"/>
      <c r="FT188" s="106"/>
      <c r="FU188" s="106"/>
      <c r="FV188" s="106"/>
      <c r="FW188" s="106"/>
      <c r="FX188" s="106"/>
      <c r="FY188" s="106"/>
      <c r="FZ188" s="106"/>
      <c r="GA188" s="106"/>
      <c r="GB188" s="106"/>
      <c r="GC188" s="106"/>
      <c r="GD188" s="106"/>
      <c r="GE188" s="106"/>
      <c r="GF188" s="106"/>
      <c r="GG188" s="106"/>
      <c r="GH188" s="106"/>
      <c r="GI188" s="106"/>
      <c r="GJ188" s="106"/>
      <c r="GK188" s="106"/>
      <c r="GL188" s="106"/>
      <c r="GM188" s="106"/>
      <c r="GN188" s="106"/>
      <c r="GO188" s="106"/>
      <c r="GP188" s="106"/>
      <c r="GQ188" s="106"/>
      <c r="GR188" s="106"/>
      <c r="GS188" s="106"/>
      <c r="GT188" s="106"/>
      <c r="GU188" s="106"/>
      <c r="GV188" s="106"/>
      <c r="GW188" s="106"/>
      <c r="GX188" s="106"/>
      <c r="GY188" s="106"/>
      <c r="GZ188" s="106"/>
      <c r="HA188" s="106"/>
      <c r="HB188" s="106"/>
      <c r="HC188" s="106"/>
      <c r="HD188" s="106"/>
      <c r="HE188" s="106"/>
      <c r="HF188" s="106"/>
      <c r="HG188" s="106"/>
      <c r="HH188" s="106"/>
      <c r="HI188" s="106"/>
      <c r="HJ188" s="106"/>
      <c r="HK188" s="106"/>
      <c r="HL188" s="106"/>
      <c r="HM188" s="106"/>
      <c r="HN188" s="106"/>
      <c r="HO188" s="106"/>
      <c r="HP188" s="106"/>
      <c r="HQ188" s="106"/>
      <c r="HR188" s="106"/>
      <c r="HS188" s="106"/>
      <c r="HT188" s="106"/>
      <c r="HU188" s="106"/>
      <c r="HV188" s="106"/>
      <c r="HW188" s="106"/>
      <c r="HX188" s="106"/>
      <c r="HY188" s="106"/>
      <c r="HZ188" s="106"/>
      <c r="IA188" s="106"/>
      <c r="IB188" s="106"/>
      <c r="IC188" s="106"/>
      <c r="ID188" s="106"/>
      <c r="IE188" s="106"/>
      <c r="IF188" s="106"/>
      <c r="IG188" s="106"/>
      <c r="IH188" s="106"/>
      <c r="II188" s="106"/>
      <c r="IJ188" s="106"/>
      <c r="IK188" s="106"/>
      <c r="IL188" s="106"/>
      <c r="IM188" s="106"/>
      <c r="IN188" s="106"/>
      <c r="IO188" s="106"/>
      <c r="IP188" s="106"/>
      <c r="IQ188" s="106"/>
      <c r="IR188" s="106"/>
      <c r="IS188" s="106"/>
      <c r="IT188" s="106"/>
      <c r="IU188" s="106"/>
      <c r="IV188" s="106"/>
    </row>
    <row r="189" spans="1:256" s="104" customFormat="1">
      <c r="A189" s="104" t="str">
        <f t="shared" si="4"/>
        <v xml:space="preserve">A6: consumo foraggio di base, animali che consumano foraggio grezzo </v>
      </c>
      <c r="B189" s="6" t="s">
        <v>249</v>
      </c>
      <c r="C189" s="476" t="s">
        <v>250</v>
      </c>
      <c r="D189" s="656" t="s">
        <v>1051</v>
      </c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06"/>
      <c r="CK189" s="106"/>
      <c r="CL189" s="106"/>
      <c r="CM189" s="106"/>
      <c r="CN189" s="106"/>
      <c r="CO189" s="106"/>
      <c r="CP189" s="106"/>
      <c r="CQ189" s="106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106"/>
      <c r="DC189" s="106"/>
      <c r="DD189" s="106"/>
      <c r="DE189" s="106"/>
      <c r="DF189" s="106"/>
      <c r="DG189" s="106"/>
      <c r="DH189" s="106"/>
      <c r="DI189" s="106"/>
      <c r="DJ189" s="106"/>
      <c r="DK189" s="106"/>
      <c r="DL189" s="106"/>
      <c r="DM189" s="106"/>
      <c r="DN189" s="106"/>
      <c r="DO189" s="106"/>
      <c r="DP189" s="106"/>
      <c r="DQ189" s="106"/>
      <c r="DR189" s="106"/>
      <c r="DS189" s="106"/>
      <c r="DT189" s="106"/>
      <c r="DU189" s="106"/>
      <c r="DV189" s="106"/>
      <c r="DW189" s="106"/>
      <c r="DX189" s="106"/>
      <c r="DY189" s="106"/>
      <c r="DZ189" s="106"/>
      <c r="EA189" s="106"/>
      <c r="EB189" s="106"/>
      <c r="EC189" s="106"/>
      <c r="ED189" s="106"/>
      <c r="EE189" s="106"/>
      <c r="EF189" s="106"/>
      <c r="EG189" s="106"/>
      <c r="EH189" s="106"/>
      <c r="EI189" s="106"/>
      <c r="EJ189" s="106"/>
      <c r="EK189" s="106"/>
      <c r="EL189" s="106"/>
      <c r="EM189" s="106"/>
      <c r="EN189" s="106"/>
      <c r="EO189" s="106"/>
      <c r="EP189" s="106"/>
      <c r="EQ189" s="106"/>
      <c r="ER189" s="106"/>
      <c r="ES189" s="106"/>
      <c r="ET189" s="106"/>
      <c r="EU189" s="106"/>
      <c r="EV189" s="106"/>
      <c r="EW189" s="106"/>
      <c r="EX189" s="106"/>
      <c r="EY189" s="106"/>
      <c r="EZ189" s="106"/>
      <c r="FA189" s="106"/>
      <c r="FB189" s="106"/>
      <c r="FC189" s="106"/>
      <c r="FD189" s="106"/>
      <c r="FE189" s="106"/>
      <c r="FF189" s="106"/>
      <c r="FG189" s="106"/>
      <c r="FH189" s="106"/>
      <c r="FI189" s="106"/>
      <c r="FJ189" s="106"/>
      <c r="FK189" s="106"/>
      <c r="FL189" s="106"/>
      <c r="FM189" s="106"/>
      <c r="FN189" s="106"/>
      <c r="FO189" s="106"/>
      <c r="FP189" s="106"/>
      <c r="FQ189" s="106"/>
      <c r="FR189" s="106"/>
      <c r="FS189" s="106"/>
      <c r="FT189" s="106"/>
      <c r="FU189" s="106"/>
      <c r="FV189" s="106"/>
      <c r="FW189" s="106"/>
      <c r="FX189" s="106"/>
      <c r="FY189" s="106"/>
      <c r="FZ189" s="106"/>
      <c r="GA189" s="106"/>
      <c r="GB189" s="106"/>
      <c r="GC189" s="106"/>
      <c r="GD189" s="106"/>
      <c r="GE189" s="106"/>
      <c r="GF189" s="106"/>
      <c r="GG189" s="106"/>
      <c r="GH189" s="106"/>
      <c r="GI189" s="106"/>
      <c r="GJ189" s="106"/>
      <c r="GK189" s="106"/>
      <c r="GL189" s="106"/>
      <c r="GM189" s="106"/>
      <c r="GN189" s="106"/>
      <c r="GO189" s="106"/>
      <c r="GP189" s="106"/>
      <c r="GQ189" s="106"/>
      <c r="GR189" s="106"/>
      <c r="GS189" s="106"/>
      <c r="GT189" s="106"/>
      <c r="GU189" s="106"/>
      <c r="GV189" s="106"/>
      <c r="GW189" s="106"/>
      <c r="GX189" s="106"/>
      <c r="GY189" s="106"/>
      <c r="GZ189" s="106"/>
      <c r="HA189" s="106"/>
      <c r="HB189" s="106"/>
      <c r="HC189" s="106"/>
      <c r="HD189" s="106"/>
      <c r="HE189" s="106"/>
      <c r="HF189" s="106"/>
      <c r="HG189" s="106"/>
      <c r="HH189" s="106"/>
      <c r="HI189" s="106"/>
      <c r="HJ189" s="106"/>
      <c r="HK189" s="106"/>
      <c r="HL189" s="106"/>
      <c r="HM189" s="106"/>
      <c r="HN189" s="106"/>
      <c r="HO189" s="106"/>
      <c r="HP189" s="106"/>
      <c r="HQ189" s="106"/>
      <c r="HR189" s="106"/>
      <c r="HS189" s="106"/>
      <c r="HT189" s="106"/>
      <c r="HU189" s="106"/>
      <c r="HV189" s="106"/>
      <c r="HW189" s="106"/>
      <c r="HX189" s="106"/>
      <c r="HY189" s="106"/>
      <c r="HZ189" s="106"/>
      <c r="IA189" s="106"/>
      <c r="IB189" s="106"/>
      <c r="IC189" s="106"/>
      <c r="ID189" s="106"/>
      <c r="IE189" s="106"/>
      <c r="IF189" s="106"/>
      <c r="IG189" s="106"/>
      <c r="IH189" s="106"/>
      <c r="II189" s="106"/>
      <c r="IJ189" s="106"/>
      <c r="IK189" s="106"/>
      <c r="IL189" s="106"/>
      <c r="IM189" s="106"/>
      <c r="IN189" s="106"/>
      <c r="IO189" s="106"/>
      <c r="IP189" s="106"/>
      <c r="IQ189" s="106"/>
      <c r="IR189" s="106"/>
      <c r="IS189" s="106"/>
      <c r="IT189" s="106"/>
      <c r="IU189" s="106"/>
      <c r="IV189" s="106"/>
    </row>
    <row r="190" spans="1:256" s="104" customFormat="1">
      <c r="A190" s="104" t="str">
        <f t="shared" si="4"/>
        <v>A7: consumo foraggio concentrato, categorie aventi diritto</v>
      </c>
      <c r="B190" s="6" t="s">
        <v>251</v>
      </c>
      <c r="C190" s="476" t="s">
        <v>252</v>
      </c>
      <c r="D190" s="656" t="s">
        <v>1052</v>
      </c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106"/>
      <c r="CJ190" s="106"/>
      <c r="CK190" s="106"/>
      <c r="CL190" s="106"/>
      <c r="CM190" s="106"/>
      <c r="CN190" s="106"/>
      <c r="CO190" s="106"/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106"/>
      <c r="DC190" s="106"/>
      <c r="DD190" s="106"/>
      <c r="DE190" s="106"/>
      <c r="DF190" s="106"/>
      <c r="DG190" s="106"/>
      <c r="DH190" s="106"/>
      <c r="DI190" s="106"/>
      <c r="DJ190" s="106"/>
      <c r="DK190" s="106"/>
      <c r="DL190" s="106"/>
      <c r="DM190" s="106"/>
      <c r="DN190" s="106"/>
      <c r="DO190" s="106"/>
      <c r="DP190" s="106"/>
      <c r="DQ190" s="106"/>
      <c r="DR190" s="106"/>
      <c r="DS190" s="106"/>
      <c r="DT190" s="106"/>
      <c r="DU190" s="106"/>
      <c r="DV190" s="106"/>
      <c r="DW190" s="106"/>
      <c r="DX190" s="106"/>
      <c r="DY190" s="106"/>
      <c r="DZ190" s="106"/>
      <c r="EA190" s="106"/>
      <c r="EB190" s="106"/>
      <c r="EC190" s="106"/>
      <c r="ED190" s="106"/>
      <c r="EE190" s="106"/>
      <c r="EF190" s="106"/>
      <c r="EG190" s="106"/>
      <c r="EH190" s="106"/>
      <c r="EI190" s="106"/>
      <c r="EJ190" s="106"/>
      <c r="EK190" s="106"/>
      <c r="EL190" s="106"/>
      <c r="EM190" s="106"/>
      <c r="EN190" s="106"/>
      <c r="EO190" s="106"/>
      <c r="EP190" s="106"/>
      <c r="EQ190" s="106"/>
      <c r="ER190" s="106"/>
      <c r="ES190" s="106"/>
      <c r="ET190" s="106"/>
      <c r="EU190" s="106"/>
      <c r="EV190" s="106"/>
      <c r="EW190" s="106"/>
      <c r="EX190" s="106"/>
      <c r="EY190" s="106"/>
      <c r="EZ190" s="106"/>
      <c r="FA190" s="106"/>
      <c r="FB190" s="106"/>
      <c r="FC190" s="106"/>
      <c r="FD190" s="106"/>
      <c r="FE190" s="106"/>
      <c r="FF190" s="106"/>
      <c r="FG190" s="106"/>
      <c r="FH190" s="106"/>
      <c r="FI190" s="106"/>
      <c r="FJ190" s="106"/>
      <c r="FK190" s="106"/>
      <c r="FL190" s="106"/>
      <c r="FM190" s="106"/>
      <c r="FN190" s="106"/>
      <c r="FO190" s="106"/>
      <c r="FP190" s="106"/>
      <c r="FQ190" s="106"/>
      <c r="FR190" s="106"/>
      <c r="FS190" s="106"/>
      <c r="FT190" s="106"/>
      <c r="FU190" s="106"/>
      <c r="FV190" s="106"/>
      <c r="FW190" s="106"/>
      <c r="FX190" s="106"/>
      <c r="FY190" s="106"/>
      <c r="FZ190" s="106"/>
      <c r="GA190" s="106"/>
      <c r="GB190" s="106"/>
      <c r="GC190" s="106"/>
      <c r="GD190" s="106"/>
      <c r="GE190" s="106"/>
      <c r="GF190" s="106"/>
      <c r="GG190" s="106"/>
      <c r="GH190" s="106"/>
      <c r="GI190" s="106"/>
      <c r="GJ190" s="106"/>
      <c r="GK190" s="106"/>
      <c r="GL190" s="106"/>
      <c r="GM190" s="106"/>
      <c r="GN190" s="106"/>
      <c r="GO190" s="106"/>
      <c r="GP190" s="106"/>
      <c r="GQ190" s="106"/>
      <c r="GR190" s="106"/>
      <c r="GS190" s="106"/>
      <c r="GT190" s="106"/>
      <c r="GU190" s="106"/>
      <c r="GV190" s="106"/>
      <c r="GW190" s="106"/>
      <c r="GX190" s="106"/>
      <c r="GY190" s="106"/>
      <c r="GZ190" s="106"/>
      <c r="HA190" s="106"/>
      <c r="HB190" s="106"/>
      <c r="HC190" s="106"/>
      <c r="HD190" s="106"/>
      <c r="HE190" s="106"/>
      <c r="HF190" s="106"/>
      <c r="HG190" s="106"/>
      <c r="HH190" s="106"/>
      <c r="HI190" s="106"/>
      <c r="HJ190" s="106"/>
      <c r="HK190" s="106"/>
      <c r="HL190" s="106"/>
      <c r="HM190" s="106"/>
      <c r="HN190" s="106"/>
      <c r="HO190" s="106"/>
      <c r="HP190" s="106"/>
      <c r="HQ190" s="106"/>
      <c r="HR190" s="106"/>
      <c r="HS190" s="106"/>
      <c r="HT190" s="106"/>
      <c r="HU190" s="106"/>
      <c r="HV190" s="106"/>
      <c r="HW190" s="106"/>
      <c r="HX190" s="106"/>
      <c r="HY190" s="106"/>
      <c r="HZ190" s="106"/>
      <c r="IA190" s="106"/>
      <c r="IB190" s="106"/>
      <c r="IC190" s="106"/>
      <c r="ID190" s="106"/>
      <c r="IE190" s="106"/>
      <c r="IF190" s="106"/>
      <c r="IG190" s="106"/>
      <c r="IH190" s="106"/>
      <c r="II190" s="106"/>
      <c r="IJ190" s="106"/>
      <c r="IK190" s="106"/>
      <c r="IL190" s="106"/>
      <c r="IM190" s="106"/>
      <c r="IN190" s="106"/>
      <c r="IO190" s="106"/>
      <c r="IP190" s="106"/>
      <c r="IQ190" s="106"/>
      <c r="IR190" s="106"/>
      <c r="IS190" s="106"/>
      <c r="IT190" s="106"/>
      <c r="IU190" s="106"/>
      <c r="IV190" s="106"/>
    </row>
    <row r="191" spans="1:256" s="104" customFormat="1">
      <c r="A191" s="104" t="str">
        <f t="shared" si="4"/>
        <v>A8: giorni di estivazione secondo AniCalc (BDTA)</v>
      </c>
      <c r="B191" s="104" t="s">
        <v>253</v>
      </c>
      <c r="C191" s="476" t="s">
        <v>254</v>
      </c>
      <c r="D191" s="104" t="s">
        <v>939</v>
      </c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106"/>
      <c r="DC191" s="106"/>
      <c r="DD191" s="106"/>
      <c r="DE191" s="106"/>
      <c r="DF191" s="106"/>
      <c r="DG191" s="106"/>
      <c r="DH191" s="106"/>
      <c r="DI191" s="106"/>
      <c r="DJ191" s="106"/>
      <c r="DK191" s="106"/>
      <c r="DL191" s="106"/>
      <c r="DM191" s="106"/>
      <c r="DN191" s="106"/>
      <c r="DO191" s="106"/>
      <c r="DP191" s="106"/>
      <c r="DQ191" s="106"/>
      <c r="DR191" s="106"/>
      <c r="DS191" s="106"/>
      <c r="DT191" s="106"/>
      <c r="DU191" s="106"/>
      <c r="DV191" s="106"/>
      <c r="DW191" s="106"/>
      <c r="DX191" s="106"/>
      <c r="DY191" s="106"/>
      <c r="DZ191" s="106"/>
      <c r="EA191" s="106"/>
      <c r="EB191" s="106"/>
      <c r="EC191" s="106"/>
      <c r="ED191" s="106"/>
      <c r="EE191" s="106"/>
      <c r="EF191" s="106"/>
      <c r="EG191" s="106"/>
      <c r="EH191" s="106"/>
      <c r="EI191" s="106"/>
      <c r="EJ191" s="106"/>
      <c r="EK191" s="106"/>
      <c r="EL191" s="106"/>
      <c r="EM191" s="106"/>
      <c r="EN191" s="106"/>
      <c r="EO191" s="106"/>
      <c r="EP191" s="106"/>
      <c r="EQ191" s="106"/>
      <c r="ER191" s="106"/>
      <c r="ES191" s="106"/>
      <c r="ET191" s="106"/>
      <c r="EU191" s="106"/>
      <c r="EV191" s="106"/>
      <c r="EW191" s="106"/>
      <c r="EX191" s="106"/>
      <c r="EY191" s="106"/>
      <c r="EZ191" s="106"/>
      <c r="FA191" s="106"/>
      <c r="FB191" s="106"/>
      <c r="FC191" s="106"/>
      <c r="FD191" s="106"/>
      <c r="FE191" s="106"/>
      <c r="FF191" s="106"/>
      <c r="FG191" s="106"/>
      <c r="FH191" s="106"/>
      <c r="FI191" s="106"/>
      <c r="FJ191" s="106"/>
      <c r="FK191" s="106"/>
      <c r="FL191" s="106"/>
      <c r="FM191" s="106"/>
      <c r="FN191" s="106"/>
      <c r="FO191" s="106"/>
      <c r="FP191" s="106"/>
      <c r="FQ191" s="106"/>
      <c r="FR191" s="106"/>
      <c r="FS191" s="106"/>
      <c r="FT191" s="106"/>
      <c r="FU191" s="106"/>
      <c r="FV191" s="106"/>
      <c r="FW191" s="106"/>
      <c r="FX191" s="106"/>
      <c r="FY191" s="106"/>
      <c r="FZ191" s="106"/>
      <c r="GA191" s="106"/>
      <c r="GB191" s="106"/>
      <c r="GC191" s="106"/>
      <c r="GD191" s="106"/>
      <c r="GE191" s="106"/>
      <c r="GF191" s="106"/>
      <c r="GG191" s="106"/>
      <c r="GH191" s="106"/>
      <c r="GI191" s="106"/>
      <c r="GJ191" s="106"/>
      <c r="GK191" s="106"/>
      <c r="GL191" s="106"/>
      <c r="GM191" s="106"/>
      <c r="GN191" s="106"/>
      <c r="GO191" s="106"/>
      <c r="GP191" s="106"/>
      <c r="GQ191" s="106"/>
      <c r="GR191" s="106"/>
      <c r="GS191" s="106"/>
      <c r="GT191" s="106"/>
      <c r="GU191" s="106"/>
      <c r="GV191" s="106"/>
      <c r="GW191" s="106"/>
      <c r="GX191" s="106"/>
      <c r="GY191" s="106"/>
      <c r="GZ191" s="106"/>
      <c r="HA191" s="106"/>
      <c r="HB191" s="106"/>
      <c r="HC191" s="106"/>
      <c r="HD191" s="106"/>
      <c r="HE191" s="106"/>
      <c r="HF191" s="106"/>
      <c r="HG191" s="106"/>
      <c r="HH191" s="106"/>
      <c r="HI191" s="106"/>
      <c r="HJ191" s="106"/>
      <c r="HK191" s="106"/>
      <c r="HL191" s="106"/>
      <c r="HM191" s="106"/>
      <c r="HN191" s="106"/>
      <c r="HO191" s="106"/>
      <c r="HP191" s="106"/>
      <c r="HQ191" s="106"/>
      <c r="HR191" s="106"/>
      <c r="HS191" s="106"/>
      <c r="HT191" s="106"/>
      <c r="HU191" s="106"/>
      <c r="HV191" s="106"/>
      <c r="HW191" s="106"/>
      <c r="HX191" s="106"/>
      <c r="HY191" s="106"/>
      <c r="HZ191" s="106"/>
      <c r="IA191" s="106"/>
      <c r="IB191" s="106"/>
      <c r="IC191" s="106"/>
      <c r="ID191" s="106"/>
      <c r="IE191" s="106"/>
      <c r="IF191" s="106"/>
      <c r="IG191" s="106"/>
      <c r="IH191" s="106"/>
      <c r="II191" s="106"/>
      <c r="IJ191" s="106"/>
      <c r="IK191" s="106"/>
      <c r="IL191" s="106"/>
      <c r="IM191" s="106"/>
      <c r="IN191" s="106"/>
      <c r="IO191" s="106"/>
      <c r="IP191" s="106"/>
      <c r="IQ191" s="106"/>
      <c r="IR191" s="106"/>
      <c r="IS191" s="106"/>
      <c r="IT191" s="106"/>
      <c r="IU191" s="106"/>
      <c r="IV191" s="106"/>
    </row>
    <row r="192" spans="1:256" s="104" customFormat="1">
      <c r="B192" s="6"/>
      <c r="C192" s="106"/>
      <c r="D192" s="442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6"/>
      <c r="CK192" s="106"/>
      <c r="CL192" s="106"/>
      <c r="CM192" s="106"/>
      <c r="CN192" s="106"/>
      <c r="CO192" s="106"/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106"/>
      <c r="DC192" s="106"/>
      <c r="DD192" s="106"/>
      <c r="DE192" s="106"/>
      <c r="DF192" s="106"/>
      <c r="DG192" s="106"/>
      <c r="DH192" s="106"/>
      <c r="DI192" s="106"/>
      <c r="DJ192" s="106"/>
      <c r="DK192" s="106"/>
      <c r="DL192" s="106"/>
      <c r="DM192" s="106"/>
      <c r="DN192" s="106"/>
      <c r="DO192" s="106"/>
      <c r="DP192" s="106"/>
      <c r="DQ192" s="106"/>
      <c r="DR192" s="106"/>
      <c r="DS192" s="106"/>
      <c r="DT192" s="106"/>
      <c r="DU192" s="106"/>
      <c r="DV192" s="106"/>
      <c r="DW192" s="106"/>
      <c r="DX192" s="106"/>
      <c r="DY192" s="106"/>
      <c r="DZ192" s="106"/>
      <c r="EA192" s="106"/>
      <c r="EB192" s="106"/>
      <c r="EC192" s="106"/>
      <c r="ED192" s="106"/>
      <c r="EE192" s="106"/>
      <c r="EF192" s="106"/>
      <c r="EG192" s="106"/>
      <c r="EH192" s="106"/>
      <c r="EI192" s="106"/>
      <c r="EJ192" s="106"/>
      <c r="EK192" s="106"/>
      <c r="EL192" s="106"/>
      <c r="EM192" s="106"/>
      <c r="EN192" s="106"/>
      <c r="EO192" s="106"/>
      <c r="EP192" s="106"/>
      <c r="EQ192" s="106"/>
      <c r="ER192" s="106"/>
      <c r="ES192" s="106"/>
      <c r="ET192" s="106"/>
      <c r="EU192" s="106"/>
      <c r="EV192" s="106"/>
      <c r="EW192" s="106"/>
      <c r="EX192" s="106"/>
      <c r="EY192" s="106"/>
      <c r="EZ192" s="106"/>
      <c r="FA192" s="106"/>
      <c r="FB192" s="106"/>
      <c r="FC192" s="106"/>
      <c r="FD192" s="106"/>
      <c r="FE192" s="106"/>
      <c r="FF192" s="106"/>
      <c r="FG192" s="106"/>
      <c r="FH192" s="106"/>
      <c r="FI192" s="106"/>
      <c r="FJ192" s="106"/>
      <c r="FK192" s="106"/>
      <c r="FL192" s="106"/>
      <c r="FM192" s="106"/>
      <c r="FN192" s="106"/>
      <c r="FO192" s="106"/>
      <c r="FP192" s="106"/>
      <c r="FQ192" s="106"/>
      <c r="FR192" s="106"/>
      <c r="FS192" s="106"/>
      <c r="FT192" s="106"/>
      <c r="FU192" s="106"/>
      <c r="FV192" s="106"/>
      <c r="FW192" s="106"/>
      <c r="FX192" s="106"/>
      <c r="FY192" s="106"/>
      <c r="FZ192" s="106"/>
      <c r="GA192" s="106"/>
      <c r="GB192" s="106"/>
      <c r="GC192" s="106"/>
      <c r="GD192" s="106"/>
      <c r="GE192" s="106"/>
      <c r="GF192" s="106"/>
      <c r="GG192" s="106"/>
      <c r="GH192" s="106"/>
      <c r="GI192" s="106"/>
      <c r="GJ192" s="106"/>
      <c r="GK192" s="106"/>
      <c r="GL192" s="106"/>
      <c r="GM192" s="106"/>
      <c r="GN192" s="106"/>
      <c r="GO192" s="106"/>
      <c r="GP192" s="106"/>
      <c r="GQ192" s="106"/>
      <c r="GR192" s="106"/>
      <c r="GS192" s="106"/>
      <c r="GT192" s="106"/>
      <c r="GU192" s="106"/>
      <c r="GV192" s="106"/>
      <c r="GW192" s="106"/>
      <c r="GX192" s="106"/>
      <c r="GY192" s="106"/>
      <c r="GZ192" s="106"/>
      <c r="HA192" s="106"/>
      <c r="HB192" s="106"/>
      <c r="HC192" s="106"/>
      <c r="HD192" s="106"/>
      <c r="HE192" s="106"/>
      <c r="HF192" s="106"/>
      <c r="HG192" s="106"/>
      <c r="HH192" s="106"/>
      <c r="HI192" s="106"/>
      <c r="HJ192" s="106"/>
      <c r="HK192" s="106"/>
      <c r="HL192" s="106"/>
      <c r="HM192" s="106"/>
      <c r="HN192" s="106"/>
      <c r="HO192" s="106"/>
      <c r="HP192" s="106"/>
      <c r="HQ192" s="106"/>
      <c r="HR192" s="106"/>
      <c r="HS192" s="106"/>
      <c r="HT192" s="106"/>
      <c r="HU192" s="106"/>
      <c r="HV192" s="106"/>
      <c r="HW192" s="106"/>
      <c r="HX192" s="106"/>
      <c r="HY192" s="106"/>
      <c r="HZ192" s="106"/>
      <c r="IA192" s="106"/>
      <c r="IB192" s="106"/>
      <c r="IC192" s="106"/>
      <c r="ID192" s="106"/>
      <c r="IE192" s="106"/>
      <c r="IF192" s="106"/>
      <c r="IG192" s="106"/>
      <c r="IH192" s="106"/>
      <c r="II192" s="106"/>
      <c r="IJ192" s="106"/>
      <c r="IK192" s="106"/>
      <c r="IL192" s="106"/>
      <c r="IM192" s="106"/>
      <c r="IN192" s="106"/>
      <c r="IO192" s="106"/>
      <c r="IP192" s="106"/>
      <c r="IQ192" s="106"/>
      <c r="IR192" s="106"/>
      <c r="IS192" s="106"/>
      <c r="IT192" s="106"/>
      <c r="IU192" s="106"/>
      <c r="IV192" s="106"/>
    </row>
    <row r="193" spans="1:4" s="103" customFormat="1">
      <c r="A193" s="103" t="str">
        <f t="shared" ref="A193:A206" si="5">IF($A$2=1,B193,IF($A$2=2,C193,IF($A$2=3,D193,"")))</f>
        <v>Parte B: produzione foraggio di base</v>
      </c>
      <c r="B193" s="103" t="s">
        <v>188</v>
      </c>
      <c r="C193" s="103" t="s">
        <v>716</v>
      </c>
      <c r="D193" s="441" t="s">
        <v>1053</v>
      </c>
    </row>
    <row r="194" spans="1:4">
      <c r="A194" s="104" t="str">
        <f t="shared" si="5"/>
        <v>Resa</v>
      </c>
      <c r="B194" s="6" t="s">
        <v>361</v>
      </c>
      <c r="C194" s="6" t="s">
        <v>528</v>
      </c>
      <c r="D194" s="442" t="s">
        <v>912</v>
      </c>
    </row>
    <row r="195" spans="1:4">
      <c r="A195" s="104" t="str">
        <f t="shared" si="5"/>
        <v>stand.</v>
      </c>
      <c r="B195" s="6" t="s">
        <v>527</v>
      </c>
      <c r="C195" s="6" t="s">
        <v>357</v>
      </c>
      <c r="D195" s="442" t="s">
        <v>357</v>
      </c>
    </row>
    <row r="196" spans="1:4">
      <c r="A196" s="104" t="str">
        <f t="shared" si="5"/>
        <v>Resa</v>
      </c>
      <c r="B196" s="6" t="s">
        <v>527</v>
      </c>
      <c r="C196" s="6" t="s">
        <v>528</v>
      </c>
      <c r="D196" s="442" t="s">
        <v>912</v>
      </c>
    </row>
    <row r="197" spans="1:4">
      <c r="A197" s="104" t="str">
        <f t="shared" si="5"/>
        <v>stand.</v>
      </c>
      <c r="B197" s="6" t="s">
        <v>526</v>
      </c>
      <c r="C197" s="6" t="s">
        <v>358</v>
      </c>
      <c r="D197" s="442" t="s">
        <v>357</v>
      </c>
    </row>
    <row r="198" spans="1:4">
      <c r="A198" s="104" t="str">
        <f t="shared" si="5"/>
        <v>q SS/ha</v>
      </c>
      <c r="B198" s="6" t="s">
        <v>360</v>
      </c>
      <c r="C198" s="6" t="s">
        <v>627</v>
      </c>
      <c r="D198" s="442" t="s">
        <v>913</v>
      </c>
    </row>
    <row r="199" spans="1:4">
      <c r="A199" s="104" t="str">
        <f t="shared" si="5"/>
        <v>Quant.</v>
      </c>
      <c r="B199" s="6" t="s">
        <v>460</v>
      </c>
      <c r="C199" s="6" t="s">
        <v>359</v>
      </c>
      <c r="D199" s="442" t="s">
        <v>359</v>
      </c>
    </row>
    <row r="200" spans="1:4">
      <c r="A200" s="104" t="str">
        <f t="shared" si="5"/>
        <v>q SS</v>
      </c>
      <c r="B200" s="6" t="s">
        <v>387</v>
      </c>
      <c r="C200" s="6" t="s">
        <v>479</v>
      </c>
      <c r="D200" s="442" t="s">
        <v>851</v>
      </c>
    </row>
    <row r="201" spans="1:4">
      <c r="A201" s="104" t="str">
        <f t="shared" si="5"/>
        <v>1=vendita</v>
      </c>
      <c r="B201" s="6" t="s">
        <v>495</v>
      </c>
      <c r="C201" s="6" t="s">
        <v>614</v>
      </c>
      <c r="D201" s="442" t="s">
        <v>914</v>
      </c>
    </row>
    <row r="202" spans="1:4">
      <c r="A202" s="104" t="str">
        <f t="shared" si="5"/>
        <v>2=acquisto</v>
      </c>
      <c r="B202" s="6" t="s">
        <v>496</v>
      </c>
      <c r="C202" s="6" t="s">
        <v>615</v>
      </c>
      <c r="D202" s="442" t="s">
        <v>915</v>
      </c>
    </row>
    <row r="203" spans="1:4">
      <c r="A203" s="104" t="str">
        <f t="shared" si="5"/>
        <v>3=al di fuori SF</v>
      </c>
      <c r="B203" s="6" t="s">
        <v>497</v>
      </c>
      <c r="C203" s="6" t="s">
        <v>617</v>
      </c>
      <c r="D203" s="442" t="s">
        <v>916</v>
      </c>
    </row>
    <row r="204" spans="1:4">
      <c r="A204" s="104" t="str">
        <f t="shared" si="5"/>
        <v>Mais pianta intera, Mais da silo</v>
      </c>
      <c r="B204" s="6" t="s">
        <v>760</v>
      </c>
      <c r="C204" s="6" t="s">
        <v>717</v>
      </c>
      <c r="D204" s="442" t="s">
        <v>1035</v>
      </c>
    </row>
    <row r="205" spans="1:4">
      <c r="A205" s="104" t="str">
        <f t="shared" si="5"/>
        <v>Insilato di cereali</v>
      </c>
      <c r="B205" s="6" t="s">
        <v>311</v>
      </c>
      <c r="C205" s="6" t="s">
        <v>309</v>
      </c>
      <c r="D205" s="443" t="s">
        <v>1300</v>
      </c>
    </row>
    <row r="206" spans="1:4">
      <c r="A206" s="104" t="str">
        <f t="shared" si="5"/>
        <v>Insilato di cereali con leguminose</v>
      </c>
      <c r="B206" s="6" t="s">
        <v>312</v>
      </c>
      <c r="C206" s="6" t="s">
        <v>310</v>
      </c>
      <c r="D206" s="443" t="s">
        <v>1299</v>
      </c>
    </row>
    <row r="207" spans="1:4">
      <c r="A207" s="104" t="str">
        <f>IF($A$2=1,B207,IF($A$2=2,C207,IF($A$2=3,D208,"")))</f>
        <v>Mais verde</v>
      </c>
      <c r="B207" s="6" t="s">
        <v>461</v>
      </c>
      <c r="C207" s="104" t="s">
        <v>462</v>
      </c>
      <c r="D207" s="442" t="s">
        <v>919</v>
      </c>
    </row>
    <row r="208" spans="1:4">
      <c r="A208" s="104" t="str">
        <f>IF($A$2=1,B208,IF($A$2=2,C208,IF($A$2=3,D207,"")))</f>
        <v>Barbabietole da foraggio (senza foglie)</v>
      </c>
      <c r="B208" s="6" t="s">
        <v>761</v>
      </c>
      <c r="C208" s="104" t="s">
        <v>718</v>
      </c>
      <c r="D208" s="442" t="s">
        <v>918</v>
      </c>
    </row>
    <row r="209" spans="1:5">
      <c r="A209" s="104" t="str">
        <f t="shared" ref="A209:A240" si="6">IF($A$2=1,B209,IF($A$2=2,C209,IF($A$2=3,D209,"")))</f>
        <v>Paglia usata come foraggio (solo dell'azienda)</v>
      </c>
      <c r="B209" s="6" t="s">
        <v>217</v>
      </c>
      <c r="C209" s="6" t="s">
        <v>719</v>
      </c>
      <c r="D209" s="442" t="s">
        <v>920</v>
      </c>
    </row>
    <row r="210" spans="1:5">
      <c r="A210" s="104" t="str">
        <f t="shared" si="6"/>
        <v>Foglie di bietola usate come foraggio (solo dell'azienda)</v>
      </c>
      <c r="B210" s="6" t="s">
        <v>218</v>
      </c>
      <c r="C210" s="6" t="s">
        <v>219</v>
      </c>
      <c r="D210" s="442" t="s">
        <v>921</v>
      </c>
    </row>
    <row r="211" spans="1:5">
      <c r="A211" s="104" t="str">
        <f t="shared" si="6"/>
        <v>Colture intercalari, sfalci autunnali di prati temporanei seminati ad agosto</v>
      </c>
      <c r="B211" s="6" t="s">
        <v>553</v>
      </c>
      <c r="C211" s="6" t="s">
        <v>720</v>
      </c>
      <c r="D211" s="442" t="s">
        <v>1065</v>
      </c>
      <c r="E211" s="6" t="s">
        <v>1041</v>
      </c>
    </row>
    <row r="212" spans="1:5">
      <c r="A212" s="104" t="str">
        <f t="shared" si="6"/>
        <v>Produzione di sementi: leguminose pure</v>
      </c>
      <c r="B212" s="6" t="s">
        <v>463</v>
      </c>
      <c r="C212" s="6" t="s">
        <v>464</v>
      </c>
      <c r="D212" s="442" t="s">
        <v>922</v>
      </c>
    </row>
    <row r="213" spans="1:5">
      <c r="A213" s="104" t="str">
        <f t="shared" si="6"/>
        <v>Produzione di sementi: graminacee pure</v>
      </c>
      <c r="B213" s="6" t="s">
        <v>465</v>
      </c>
      <c r="C213" s="6" t="s">
        <v>466</v>
      </c>
      <c r="D213" s="442" t="s">
        <v>923</v>
      </c>
    </row>
    <row r="214" spans="1:5">
      <c r="A214" s="104" t="str">
        <f t="shared" si="6"/>
        <v>Prati estensivi</v>
      </c>
      <c r="B214" s="6" t="s">
        <v>467</v>
      </c>
      <c r="C214" s="6" t="s">
        <v>468</v>
      </c>
      <c r="D214" s="442" t="s">
        <v>924</v>
      </c>
    </row>
    <row r="215" spans="1:5">
      <c r="A215" s="104" t="str">
        <f t="shared" si="6"/>
        <v>Altri prati con divieto di concimazione</v>
      </c>
      <c r="B215" s="6" t="s">
        <v>529</v>
      </c>
      <c r="C215" s="6" t="s">
        <v>517</v>
      </c>
      <c r="D215" s="442" t="s">
        <v>925</v>
      </c>
    </row>
    <row r="216" spans="1:5">
      <c r="A216" s="104" t="str">
        <f t="shared" si="6"/>
        <v xml:space="preserve">Prati estensivi, pascoli boschivi </v>
      </c>
      <c r="B216" s="6" t="s">
        <v>469</v>
      </c>
      <c r="C216" s="6" t="s">
        <v>470</v>
      </c>
      <c r="D216" s="442" t="s">
        <v>926</v>
      </c>
    </row>
    <row r="217" spans="1:5">
      <c r="A217" s="104" t="str">
        <f t="shared" si="6"/>
        <v>Prati e pascoli</v>
      </c>
      <c r="B217" s="6" t="s">
        <v>518</v>
      </c>
      <c r="C217" s="6" t="s">
        <v>519</v>
      </c>
      <c r="D217" s="442" t="s">
        <v>927</v>
      </c>
    </row>
    <row r="218" spans="1:5">
      <c r="A218" s="104" t="str">
        <f t="shared" si="6"/>
        <v>poco intensivi (1-3  utilizzazioni)</v>
      </c>
      <c r="B218" s="6" t="s">
        <v>410</v>
      </c>
      <c r="C218" s="6" t="s">
        <v>629</v>
      </c>
      <c r="D218" s="442" t="s">
        <v>928</v>
      </c>
    </row>
    <row r="219" spans="1:5">
      <c r="A219" s="104" t="str">
        <f t="shared" si="6"/>
        <v>mediamente intensivi (1-4 utili.)</v>
      </c>
      <c r="B219" s="6" t="s">
        <v>411</v>
      </c>
      <c r="C219" s="6" t="s">
        <v>631</v>
      </c>
      <c r="D219" s="442" t="s">
        <v>1066</v>
      </c>
    </row>
    <row r="220" spans="1:5">
      <c r="A220" s="104" t="str">
        <f t="shared" si="6"/>
        <v>intensivi (2-6 utilizzazioni)</v>
      </c>
      <c r="B220" s="6" t="s">
        <v>412</v>
      </c>
      <c r="C220" s="6" t="s">
        <v>633</v>
      </c>
      <c r="D220" s="442" t="s">
        <v>929</v>
      </c>
    </row>
    <row r="221" spans="1:5">
      <c r="A221" s="104" t="str">
        <f t="shared" si="6"/>
        <v>Superficie inerbita</v>
      </c>
      <c r="B221" s="6" t="s">
        <v>643</v>
      </c>
      <c r="C221" s="6" t="s">
        <v>663</v>
      </c>
      <c r="D221" s="442" t="s">
        <v>930</v>
      </c>
    </row>
    <row r="222" spans="1:5">
      <c r="A222" s="104" t="str">
        <f t="shared" si="6"/>
        <v>Superficie con coltura intercalare</v>
      </c>
      <c r="B222" s="6" t="s">
        <v>182</v>
      </c>
      <c r="C222" s="6" t="s">
        <v>721</v>
      </c>
      <c r="D222" s="442" t="s">
        <v>931</v>
      </c>
    </row>
    <row r="223" spans="1:5">
      <c r="A223" s="104" t="str">
        <f t="shared" si="6"/>
        <v>B1: produzione totale foraggio di base</v>
      </c>
      <c r="B223" s="6" t="s">
        <v>187</v>
      </c>
      <c r="C223" s="6" t="s">
        <v>722</v>
      </c>
      <c r="D223" s="442" t="s">
        <v>943</v>
      </c>
    </row>
    <row r="224" spans="1:5">
      <c r="A224" s="104" t="str">
        <f t="shared" si="6"/>
        <v>B2: produzione foraggio di base prati e pascoli</v>
      </c>
      <c r="B224" s="6" t="s">
        <v>523</v>
      </c>
      <c r="C224" s="6" t="s">
        <v>723</v>
      </c>
      <c r="D224" s="442" t="s">
        <v>1054</v>
      </c>
    </row>
    <row r="225" spans="1:4">
      <c r="A225" s="104" t="str">
        <f t="shared" si="6"/>
        <v>B3: altra produzione di foraggio di base</v>
      </c>
      <c r="B225" s="6" t="s">
        <v>507</v>
      </c>
      <c r="C225" s="6" t="s">
        <v>508</v>
      </c>
      <c r="D225" s="442" t="s">
        <v>944</v>
      </c>
    </row>
    <row r="226" spans="1:4">
      <c r="A226" s="104" t="str">
        <f t="shared" si="6"/>
        <v>È superata la resa massima!</v>
      </c>
      <c r="B226" s="6" t="s">
        <v>651</v>
      </c>
      <c r="C226" s="6" t="s">
        <v>652</v>
      </c>
      <c r="D226" s="442" t="s">
        <v>945</v>
      </c>
    </row>
    <row r="227" spans="1:4">
      <c r="A227" s="104" t="str">
        <f t="shared" si="6"/>
        <v>Dati per la densità minima di animali</v>
      </c>
      <c r="B227" s="6" t="s">
        <v>98</v>
      </c>
      <c r="C227" s="6" t="s">
        <v>99</v>
      </c>
      <c r="D227" s="442" t="s">
        <v>100</v>
      </c>
    </row>
    <row r="228" spans="1:4">
      <c r="A228" s="104" t="str">
        <f t="shared" si="6"/>
        <v>effettivo minimo animali</v>
      </c>
      <c r="B228" s="6" t="s">
        <v>661</v>
      </c>
      <c r="C228" s="6" t="s">
        <v>724</v>
      </c>
      <c r="D228" s="442" t="s">
        <v>1063</v>
      </c>
    </row>
    <row r="229" spans="1:4">
      <c r="A229" s="104" t="str">
        <f t="shared" si="6"/>
        <v>Prati permanenti</v>
      </c>
      <c r="B229" s="6" t="s">
        <v>656</v>
      </c>
      <c r="C229" s="6" t="s">
        <v>662</v>
      </c>
      <c r="D229" s="442" t="s">
        <v>1067</v>
      </c>
    </row>
    <row r="230" spans="1:4">
      <c r="A230" s="104" t="str">
        <f t="shared" si="6"/>
        <v>Prati artificiali</v>
      </c>
      <c r="B230" s="6" t="s">
        <v>655</v>
      </c>
      <c r="C230" s="6" t="s">
        <v>726</v>
      </c>
      <c r="D230" s="442" t="s">
        <v>946</v>
      </c>
    </row>
    <row r="231" spans="1:4">
      <c r="A231" s="104" t="str">
        <f t="shared" si="6"/>
        <v>SPB</v>
      </c>
      <c r="B231" s="6" t="s">
        <v>657</v>
      </c>
      <c r="C231" s="6" t="s">
        <v>659</v>
      </c>
      <c r="D231" s="442" t="s">
        <v>659</v>
      </c>
    </row>
    <row r="232" spans="1:4">
      <c r="A232" s="104" t="str">
        <f t="shared" si="6"/>
        <v>Zona di pianura</v>
      </c>
      <c r="B232" s="6" t="s">
        <v>559</v>
      </c>
      <c r="C232" s="6" t="s">
        <v>542</v>
      </c>
      <c r="D232" s="442" t="s">
        <v>812</v>
      </c>
    </row>
    <row r="233" spans="1:4">
      <c r="A233" s="104" t="str">
        <f t="shared" si="6"/>
        <v>Zona collinare</v>
      </c>
      <c r="B233" s="6" t="s">
        <v>560</v>
      </c>
      <c r="C233" s="6" t="s">
        <v>561</v>
      </c>
      <c r="D233" s="442" t="s">
        <v>813</v>
      </c>
    </row>
    <row r="234" spans="1:4">
      <c r="A234" s="104" t="str">
        <f t="shared" si="6"/>
        <v>Zona di montagna 1</v>
      </c>
      <c r="B234" s="6" t="s">
        <v>562</v>
      </c>
      <c r="C234" s="6" t="s">
        <v>563</v>
      </c>
      <c r="D234" s="442" t="s">
        <v>814</v>
      </c>
    </row>
    <row r="235" spans="1:4">
      <c r="A235" s="104" t="str">
        <f t="shared" si="6"/>
        <v>Zona di montagna 2</v>
      </c>
      <c r="B235" s="6" t="s">
        <v>564</v>
      </c>
      <c r="C235" s="6" t="s">
        <v>565</v>
      </c>
      <c r="D235" s="442" t="s">
        <v>815</v>
      </c>
    </row>
    <row r="236" spans="1:4">
      <c r="A236" s="104" t="str">
        <f t="shared" si="6"/>
        <v>Zona di montagna 3</v>
      </c>
      <c r="B236" s="6" t="s">
        <v>566</v>
      </c>
      <c r="C236" s="6" t="s">
        <v>572</v>
      </c>
      <c r="D236" s="442" t="s">
        <v>816</v>
      </c>
    </row>
    <row r="237" spans="1:4">
      <c r="A237" s="104" t="str">
        <f t="shared" si="6"/>
        <v>Zona di montagna 4</v>
      </c>
      <c r="B237" s="6" t="s">
        <v>573</v>
      </c>
      <c r="C237" s="476" t="s">
        <v>574</v>
      </c>
      <c r="D237" s="658" t="s">
        <v>817</v>
      </c>
    </row>
    <row r="238" spans="1:4">
      <c r="A238" s="104" t="str">
        <f t="shared" si="6"/>
        <v xml:space="preserve">Superfici all’estero </v>
      </c>
      <c r="B238" s="6" t="s">
        <v>1124</v>
      </c>
      <c r="C238" s="476" t="s">
        <v>1123</v>
      </c>
      <c r="D238" s="658" t="s">
        <v>1125</v>
      </c>
    </row>
    <row r="239" spans="1:4">
      <c r="A239" s="104" t="str">
        <f t="shared" si="6"/>
        <v>Differenza di superficie di:</v>
      </c>
      <c r="B239" s="6" t="s">
        <v>660</v>
      </c>
      <c r="C239" s="476" t="s">
        <v>727</v>
      </c>
      <c r="D239" s="658" t="s">
        <v>947</v>
      </c>
    </row>
    <row r="240" spans="1:4">
      <c r="A240" s="104" t="str">
        <f t="shared" si="6"/>
        <v>SPB troppo alta</v>
      </c>
      <c r="B240" s="6" t="s">
        <v>1133</v>
      </c>
      <c r="C240" s="476" t="s">
        <v>1143</v>
      </c>
      <c r="D240" s="658" t="s">
        <v>1142</v>
      </c>
    </row>
    <row r="241" spans="1:5">
      <c r="A241" s="104" t="str">
        <f t="shared" ref="A241:A277" si="7">IF($A$2=1,B241,IF($A$2=2,C241,IF($A$2=3,D241,"")))</f>
        <v>Lei non ha delle SPB?</v>
      </c>
      <c r="B241" s="6" t="s">
        <v>1134</v>
      </c>
      <c r="C241" s="476" t="s">
        <v>1140</v>
      </c>
      <c r="D241" s="658" t="s">
        <v>1141</v>
      </c>
    </row>
    <row r="242" spans="1:5">
      <c r="A242" s="104" t="str">
        <f t="shared" si="7"/>
        <v>Il bilancio del foraggio non è equilibrato!</v>
      </c>
      <c r="B242" s="6" t="s">
        <v>498</v>
      </c>
      <c r="C242" s="476" t="s">
        <v>499</v>
      </c>
      <c r="D242" s="658" t="s">
        <v>7</v>
      </c>
      <c r="E242" s="442" t="s">
        <v>911</v>
      </c>
    </row>
    <row r="243" spans="1:5">
      <c r="A243" s="104" t="str">
        <f t="shared" si="7"/>
        <v>Vacche madri &amp; vitelli</v>
      </c>
      <c r="B243" s="476" t="s">
        <v>975</v>
      </c>
      <c r="C243" s="476" t="s">
        <v>1146</v>
      </c>
      <c r="D243" s="656" t="s">
        <v>1180</v>
      </c>
      <c r="E243" s="442"/>
    </row>
    <row r="244" spans="1:5">
      <c r="A244" s="104" t="str">
        <f t="shared" si="7"/>
        <v>di cui foraggiato a</v>
      </c>
      <c r="B244" s="476" t="s">
        <v>567</v>
      </c>
      <c r="C244" s="476" t="s">
        <v>1178</v>
      </c>
      <c r="D244" s="656" t="s">
        <v>1055</v>
      </c>
      <c r="E244" s="442"/>
    </row>
    <row r="245" spans="1:5">
      <c r="A245" s="104" t="str">
        <f t="shared" si="7"/>
        <v>vacche madri &amp; vitelli q. SS</v>
      </c>
      <c r="B245" s="476" t="s">
        <v>568</v>
      </c>
      <c r="C245" s="476" t="s">
        <v>1179</v>
      </c>
      <c r="D245" s="656" t="s">
        <v>1056</v>
      </c>
      <c r="E245" s="442"/>
    </row>
    <row r="246" spans="1:5">
      <c r="A246" s="104" t="str">
        <f t="shared" si="7"/>
        <v>Quantità foraggio per vacche madri &amp; vitelli &gt; quantità foraggio prodotto in azienda</v>
      </c>
      <c r="B246" s="476" t="s">
        <v>341</v>
      </c>
      <c r="C246" s="476" t="s">
        <v>1181</v>
      </c>
      <c r="D246" s="656" t="s">
        <v>1057</v>
      </c>
      <c r="E246" s="442"/>
    </row>
    <row r="247" spans="1:5" ht="16.5">
      <c r="A247" s="104">
        <f t="shared" si="7"/>
        <v>0</v>
      </c>
      <c r="C247" s="476"/>
      <c r="D247" s="440"/>
    </row>
    <row r="248" spans="1:5" s="103" customFormat="1">
      <c r="A248" s="103" t="str">
        <f t="shared" si="7"/>
        <v>Parte C: ritiri e cessioni di foraggio di base</v>
      </c>
      <c r="B248" s="103" t="s">
        <v>356</v>
      </c>
      <c r="C248" s="103" t="s">
        <v>728</v>
      </c>
      <c r="D248" s="441" t="s">
        <v>948</v>
      </c>
    </row>
    <row r="249" spans="1:5">
      <c r="A249" s="104" t="str">
        <f t="shared" si="7"/>
        <v>Consumo foraggio di base nell'azienda</v>
      </c>
      <c r="B249" s="6" t="s">
        <v>189</v>
      </c>
      <c r="C249" s="104" t="s">
        <v>729</v>
      </c>
      <c r="D249" s="442" t="s">
        <v>949</v>
      </c>
    </row>
    <row r="250" spans="1:5">
      <c r="A250" s="104" t="str">
        <f t="shared" si="7"/>
        <v>Ritiri, cessioni e produzione di foraggio di base al di fuori della superficie foraggera (SF)</v>
      </c>
      <c r="B250" s="6" t="s">
        <v>438</v>
      </c>
      <c r="C250" s="6" t="s">
        <v>605</v>
      </c>
      <c r="D250" s="442" t="s">
        <v>1058</v>
      </c>
    </row>
    <row r="251" spans="1:5">
      <c r="A251" s="104" t="str">
        <f t="shared" si="7"/>
        <v>Tipi di foraggio di base</v>
      </c>
      <c r="B251" s="6" t="s">
        <v>408</v>
      </c>
      <c r="C251" s="6" t="s">
        <v>606</v>
      </c>
      <c r="D251" s="442" t="s">
        <v>950</v>
      </c>
    </row>
    <row r="252" spans="1:5">
      <c r="A252" s="104" t="str">
        <f t="shared" si="7"/>
        <v>Quantità</v>
      </c>
      <c r="B252" s="6" t="s">
        <v>460</v>
      </c>
      <c r="C252" s="6" t="s">
        <v>607</v>
      </c>
      <c r="D252" s="442" t="s">
        <v>951</v>
      </c>
    </row>
    <row r="253" spans="1:5">
      <c r="A253" s="104" t="str">
        <f t="shared" si="7"/>
        <v>q</v>
      </c>
      <c r="B253" s="6" t="s">
        <v>635</v>
      </c>
      <c r="C253" s="6" t="s">
        <v>635</v>
      </c>
      <c r="D253" s="442" t="s">
        <v>855</v>
      </c>
    </row>
    <row r="254" spans="1:5">
      <c r="A254" s="104" t="str">
        <f t="shared" si="7"/>
        <v>%</v>
      </c>
      <c r="B254" s="6" t="s">
        <v>637</v>
      </c>
      <c r="C254" s="6" t="s">
        <v>608</v>
      </c>
      <c r="D254" s="442" t="s">
        <v>637</v>
      </c>
    </row>
    <row r="255" spans="1:5">
      <c r="A255" s="104" t="str">
        <f t="shared" si="7"/>
        <v>SS</v>
      </c>
      <c r="B255" s="6" t="s">
        <v>525</v>
      </c>
      <c r="C255" s="6" t="s">
        <v>612</v>
      </c>
      <c r="D255" s="442" t="s">
        <v>952</v>
      </c>
    </row>
    <row r="256" spans="1:5">
      <c r="A256" s="104" t="str">
        <f t="shared" si="7"/>
        <v>Codice</v>
      </c>
      <c r="B256" s="6" t="s">
        <v>398</v>
      </c>
      <c r="C256" s="6" t="s">
        <v>398</v>
      </c>
      <c r="D256" s="442" t="s">
        <v>953</v>
      </c>
    </row>
    <row r="257" spans="1:4">
      <c r="A257" s="104" t="str">
        <f t="shared" si="7"/>
        <v>Cessioni</v>
      </c>
      <c r="B257" s="6" t="s">
        <v>442</v>
      </c>
      <c r="C257" s="6" t="s">
        <v>609</v>
      </c>
      <c r="D257" s="442" t="s">
        <v>954</v>
      </c>
    </row>
    <row r="258" spans="1:4">
      <c r="A258" s="104" t="str">
        <f t="shared" si="7"/>
        <v>q SS</v>
      </c>
      <c r="B258" s="6" t="s">
        <v>387</v>
      </c>
      <c r="C258" s="6" t="s">
        <v>479</v>
      </c>
      <c r="D258" s="442" t="s">
        <v>851</v>
      </c>
    </row>
    <row r="259" spans="1:4">
      <c r="A259" s="104" t="str">
        <f t="shared" si="7"/>
        <v>q SF</v>
      </c>
      <c r="B259" s="6" t="s">
        <v>439</v>
      </c>
      <c r="C259" s="6" t="s">
        <v>440</v>
      </c>
      <c r="D259" s="442" t="s">
        <v>849</v>
      </c>
    </row>
    <row r="260" spans="1:4">
      <c r="A260" s="104" t="str">
        <f t="shared" si="7"/>
        <v>SS</v>
      </c>
      <c r="B260" s="6" t="s">
        <v>525</v>
      </c>
      <c r="C260" s="6" t="s">
        <v>441</v>
      </c>
      <c r="D260" s="442" t="s">
        <v>952</v>
      </c>
    </row>
    <row r="261" spans="1:4">
      <c r="A261" s="104" t="str">
        <f t="shared" si="7"/>
        <v xml:space="preserve">Ritiri </v>
      </c>
      <c r="B261" s="6" t="s">
        <v>443</v>
      </c>
      <c r="C261" s="6" t="s">
        <v>610</v>
      </c>
      <c r="D261" s="442" t="s">
        <v>955</v>
      </c>
    </row>
    <row r="262" spans="1:4">
      <c r="A262" s="104" t="str">
        <f t="shared" si="7"/>
        <v>al di fuori SF</v>
      </c>
      <c r="B262" s="6" t="s">
        <v>639</v>
      </c>
      <c r="C262" s="6" t="s">
        <v>611</v>
      </c>
      <c r="D262" s="442" t="s">
        <v>956</v>
      </c>
    </row>
    <row r="263" spans="1:4">
      <c r="A263" s="104" t="str">
        <f t="shared" si="7"/>
        <v>q SS)</v>
      </c>
      <c r="B263" s="6" t="s">
        <v>446</v>
      </c>
      <c r="C263" s="6" t="s">
        <v>622</v>
      </c>
      <c r="D263" s="442" t="s">
        <v>957</v>
      </c>
    </row>
    <row r="264" spans="1:4">
      <c r="A264" s="104" t="str">
        <f t="shared" si="7"/>
        <v>Erba</v>
      </c>
      <c r="B264" s="6" t="s">
        <v>203</v>
      </c>
      <c r="C264" s="6" t="s">
        <v>205</v>
      </c>
      <c r="D264" s="442" t="s">
        <v>958</v>
      </c>
    </row>
    <row r="265" spans="1:4">
      <c r="A265" s="104" t="str">
        <f t="shared" si="7"/>
        <v>Insilato d'erba</v>
      </c>
      <c r="B265" s="6" t="s">
        <v>369</v>
      </c>
      <c r="C265" s="6" t="s">
        <v>370</v>
      </c>
      <c r="D265" s="442" t="s">
        <v>959</v>
      </c>
    </row>
    <row r="266" spans="1:4">
      <c r="A266" s="104" t="str">
        <f t="shared" si="7"/>
        <v>Cubetti d'erba</v>
      </c>
      <c r="B266" s="6" t="s">
        <v>204</v>
      </c>
      <c r="C266" s="6" t="s">
        <v>730</v>
      </c>
      <c r="D266" s="442" t="s">
        <v>1038</v>
      </c>
    </row>
    <row r="267" spans="1:4">
      <c r="A267" s="104" t="str">
        <f t="shared" si="7"/>
        <v>Foraggio essiccato</v>
      </c>
      <c r="B267" s="6" t="s">
        <v>444</v>
      </c>
      <c r="C267" s="6" t="s">
        <v>616</v>
      </c>
      <c r="D267" s="442" t="s">
        <v>960</v>
      </c>
    </row>
    <row r="268" spans="1:4">
      <c r="A268" s="104" t="str">
        <f t="shared" si="7"/>
        <v>Foraggio essiccato, a tenore ridotto di sost. nutri.</v>
      </c>
      <c r="B268" s="6" t="s">
        <v>445</v>
      </c>
      <c r="C268" s="6" t="s">
        <v>618</v>
      </c>
      <c r="D268" s="442" t="s">
        <v>1040</v>
      </c>
    </row>
    <row r="269" spans="1:4">
      <c r="A269" s="104" t="str">
        <f t="shared" si="7"/>
        <v>Insilato di cereali</v>
      </c>
      <c r="B269" s="6" t="s">
        <v>311</v>
      </c>
      <c r="C269" s="6" t="s">
        <v>309</v>
      </c>
      <c r="D269" s="443" t="s">
        <v>1300</v>
      </c>
    </row>
    <row r="270" spans="1:4">
      <c r="A270" s="104" t="str">
        <f t="shared" si="7"/>
        <v>Insilato di cereali con leguminose</v>
      </c>
      <c r="B270" s="6" t="s">
        <v>312</v>
      </c>
      <c r="C270" s="6" t="s">
        <v>310</v>
      </c>
      <c r="D270" s="443" t="s">
        <v>1299</v>
      </c>
    </row>
    <row r="271" spans="1:4">
      <c r="A271" s="104" t="str">
        <f t="shared" si="7"/>
        <v>Mais da silo</v>
      </c>
      <c r="B271" s="6" t="s">
        <v>530</v>
      </c>
      <c r="C271" s="6" t="s">
        <v>591</v>
      </c>
      <c r="D271" s="442" t="s">
        <v>917</v>
      </c>
    </row>
    <row r="272" spans="1:4">
      <c r="A272" s="104" t="str">
        <f t="shared" si="7"/>
        <v>Mais verde</v>
      </c>
      <c r="B272" s="6" t="s">
        <v>400</v>
      </c>
      <c r="C272" s="6" t="s">
        <v>731</v>
      </c>
      <c r="D272" s="442" t="s">
        <v>918</v>
      </c>
    </row>
    <row r="273" spans="1:6">
      <c r="A273" s="104" t="str">
        <f t="shared" si="7"/>
        <v>Cubetti da mais pianta intera</v>
      </c>
      <c r="B273" s="6" t="s">
        <v>206</v>
      </c>
      <c r="C273" s="6" t="s">
        <v>732</v>
      </c>
      <c r="D273" s="442" t="s">
        <v>1039</v>
      </c>
    </row>
    <row r="274" spans="1:6">
      <c r="A274" s="104" t="str">
        <f t="shared" si="7"/>
        <v>CCM (per l'ingrasso di bovini)</v>
      </c>
      <c r="B274" s="6" t="s">
        <v>409</v>
      </c>
      <c r="C274" s="6" t="s">
        <v>733</v>
      </c>
      <c r="D274" s="442" t="s">
        <v>961</v>
      </c>
    </row>
    <row r="275" spans="1:6">
      <c r="A275" s="104" t="str">
        <f t="shared" si="7"/>
        <v>Barbabietole da foraggio</v>
      </c>
      <c r="B275" s="6" t="s">
        <v>531</v>
      </c>
      <c r="C275" s="6" t="s">
        <v>619</v>
      </c>
      <c r="D275" s="442" t="s">
        <v>962</v>
      </c>
    </row>
    <row r="276" spans="1:6">
      <c r="A276" s="104" t="str">
        <f t="shared" si="7"/>
        <v>Barbabietole da zucchero</v>
      </c>
      <c r="B276" s="6" t="s">
        <v>587</v>
      </c>
      <c r="C276" s="6" t="s">
        <v>620</v>
      </c>
      <c r="D276" s="442" t="s">
        <v>963</v>
      </c>
    </row>
    <row r="277" spans="1:6">
      <c r="A277" s="104" t="str">
        <f t="shared" si="7"/>
        <v>Polpa di barbabietola da zucchero, fresca</v>
      </c>
      <c r="B277" s="6" t="s">
        <v>207</v>
      </c>
      <c r="C277" s="6" t="s">
        <v>208</v>
      </c>
      <c r="D277" s="442" t="s">
        <v>964</v>
      </c>
    </row>
    <row r="278" spans="1:6">
      <c r="A278" s="104" t="str">
        <f t="shared" ref="A278:A318" si="8">IF($A$2=1,B278,IF($A$2=2,C278,IF($A$2=3,D278,"")))</f>
        <v>Polpa di barbabietola da zucchero, insilata</v>
      </c>
      <c r="B278" s="6" t="s">
        <v>209</v>
      </c>
      <c r="C278" s="6" t="s">
        <v>211</v>
      </c>
      <c r="D278" s="442" t="s">
        <v>965</v>
      </c>
    </row>
    <row r="279" spans="1:6">
      <c r="A279" s="104" t="str">
        <f t="shared" si="8"/>
        <v>Polpa di barbabietola da zucchero, essiccata</v>
      </c>
      <c r="B279" s="6" t="s">
        <v>210</v>
      </c>
      <c r="C279" s="6" t="s">
        <v>216</v>
      </c>
      <c r="D279" s="442" t="s">
        <v>966</v>
      </c>
    </row>
    <row r="280" spans="1:6">
      <c r="A280" s="104" t="str">
        <f t="shared" si="8"/>
        <v>Foglie di barbabietola</v>
      </c>
      <c r="B280" s="6" t="s">
        <v>212</v>
      </c>
      <c r="C280" s="104" t="s">
        <v>734</v>
      </c>
      <c r="D280" s="442" t="s">
        <v>1037</v>
      </c>
    </row>
    <row r="281" spans="1:6">
      <c r="A281" s="104" t="str">
        <f t="shared" si="8"/>
        <v>Patate</v>
      </c>
      <c r="B281" s="6" t="s">
        <v>220</v>
      </c>
      <c r="C281" s="6" t="s">
        <v>621</v>
      </c>
      <c r="D281" s="442" t="s">
        <v>967</v>
      </c>
    </row>
    <row r="282" spans="1:6">
      <c r="A282" s="104" t="str">
        <f t="shared" si="8"/>
        <v>Radici di cicoria</v>
      </c>
      <c r="B282" s="6" t="s">
        <v>213</v>
      </c>
      <c r="C282" s="6" t="s">
        <v>215</v>
      </c>
      <c r="D282" s="442" t="s">
        <v>977</v>
      </c>
    </row>
    <row r="283" spans="1:6">
      <c r="A283" s="104" t="str">
        <f t="shared" si="8"/>
        <v>Cascami della valorizzazione di frutta e verdura</v>
      </c>
      <c r="B283" s="6" t="s">
        <v>214</v>
      </c>
      <c r="C283" s="104" t="s">
        <v>735</v>
      </c>
      <c r="D283" s="442" t="s">
        <v>978</v>
      </c>
    </row>
    <row r="284" spans="1:6">
      <c r="A284" s="104" t="str">
        <f t="shared" si="8"/>
        <v>Borlande</v>
      </c>
      <c r="B284" s="6" t="s">
        <v>1003</v>
      </c>
      <c r="C284" s="104" t="s">
        <v>1004</v>
      </c>
      <c r="D284" s="656" t="s">
        <v>1005</v>
      </c>
    </row>
    <row r="285" spans="1:6">
      <c r="A285" s="104" t="str">
        <f t="shared" si="8"/>
        <v>Acquisto di paglia a scopo foraggero</v>
      </c>
      <c r="B285" s="6" t="s">
        <v>1144</v>
      </c>
      <c r="C285" s="6" t="s">
        <v>736</v>
      </c>
      <c r="D285" s="442" t="s">
        <v>979</v>
      </c>
    </row>
    <row r="286" spans="1:6">
      <c r="A286" s="104" t="str">
        <f t="shared" si="8"/>
        <v>C1: totale cessioni prati e pascoli</v>
      </c>
      <c r="B286" s="6" t="s">
        <v>521</v>
      </c>
      <c r="C286" s="6" t="s">
        <v>737</v>
      </c>
      <c r="D286" s="442" t="s">
        <v>980</v>
      </c>
      <c r="F286" s="6" t="s">
        <v>407</v>
      </c>
    </row>
    <row r="287" spans="1:6">
      <c r="A287" s="104" t="str">
        <f t="shared" si="8"/>
        <v>C2: totale cessioni altri foraggi di base</v>
      </c>
      <c r="B287" s="6" t="s">
        <v>190</v>
      </c>
      <c r="C287" s="6" t="s">
        <v>738</v>
      </c>
      <c r="D287" s="442" t="s">
        <v>981</v>
      </c>
    </row>
    <row r="288" spans="1:6">
      <c r="A288" s="104" t="str">
        <f t="shared" si="8"/>
        <v>C3. totale ritiri prati e pascoli</v>
      </c>
      <c r="B288" s="6" t="s">
        <v>522</v>
      </c>
      <c r="C288" s="6" t="s">
        <v>742</v>
      </c>
      <c r="D288" s="442" t="s">
        <v>982</v>
      </c>
    </row>
    <row r="289" spans="1:5">
      <c r="A289" s="104" t="str">
        <f t="shared" si="8"/>
        <v>C4: totale ritiri altri foraggi di base</v>
      </c>
      <c r="B289" s="6" t="s">
        <v>191</v>
      </c>
      <c r="C289" s="104" t="s">
        <v>743</v>
      </c>
      <c r="D289" s="442" t="s">
        <v>983</v>
      </c>
    </row>
    <row r="290" spans="1:5">
      <c r="A290" s="104" t="str">
        <f t="shared" si="8"/>
        <v>C5: produzione foraggi di base al di fuori della superficie foraggera</v>
      </c>
      <c r="B290" s="6" t="s">
        <v>192</v>
      </c>
      <c r="C290" s="6" t="s">
        <v>744</v>
      </c>
      <c r="D290" s="442" t="s">
        <v>984</v>
      </c>
    </row>
    <row r="291" spans="1:5">
      <c r="A291" s="104" t="str">
        <f t="shared" si="8"/>
        <v>Totale fabbisogno foraggio di base netto</v>
      </c>
      <c r="B291" s="6" t="s">
        <v>447</v>
      </c>
      <c r="C291" s="6" t="s">
        <v>625</v>
      </c>
      <c r="D291" s="442" t="s">
        <v>985</v>
      </c>
    </row>
    <row r="292" spans="1:5">
      <c r="A292" s="104" t="str">
        <f t="shared" si="8"/>
        <v xml:space="preserve">C6: più perdite da stoccaggio e da foraggiamento, 0,5% del fabbisogno foraggio di base netto </v>
      </c>
      <c r="B292" s="89" t="s">
        <v>768</v>
      </c>
      <c r="C292" s="89" t="s">
        <v>745</v>
      </c>
      <c r="D292" s="442" t="s">
        <v>986</v>
      </c>
    </row>
    <row r="293" spans="1:5">
      <c r="A293" s="104" t="str">
        <f t="shared" si="8"/>
        <v>C7: margine d'errore del bilancio del foraggio di base:0-5%</v>
      </c>
      <c r="B293" s="89" t="s">
        <v>767</v>
      </c>
      <c r="C293" s="89" t="s">
        <v>746</v>
      </c>
      <c r="D293" s="443" t="s">
        <v>987</v>
      </c>
    </row>
    <row r="294" spans="1:5">
      <c r="A294" s="104" t="str">
        <f t="shared" si="8"/>
        <v xml:space="preserve">Totale foraggio di base prodotto (FB prod) sulla superficie foraggera </v>
      </c>
      <c r="B294" s="6" t="s">
        <v>448</v>
      </c>
      <c r="C294" s="6" t="s">
        <v>747</v>
      </c>
      <c r="D294" s="442" t="s">
        <v>988</v>
      </c>
    </row>
    <row r="295" spans="1:5">
      <c r="A295" s="104" t="str">
        <f t="shared" si="8"/>
        <v>Vacche madri &amp; vitelli</v>
      </c>
      <c r="B295" s="476" t="s">
        <v>975</v>
      </c>
      <c r="C295" s="6" t="s">
        <v>1146</v>
      </c>
      <c r="D295" s="656" t="s">
        <v>1180</v>
      </c>
    </row>
    <row r="296" spans="1:5">
      <c r="A296" s="104" t="str">
        <f t="shared" si="8"/>
        <v>di cui foraggiato a</v>
      </c>
      <c r="B296" s="476" t="s">
        <v>567</v>
      </c>
      <c r="C296" s="476" t="s">
        <v>1178</v>
      </c>
      <c r="D296" s="656" t="s">
        <v>1055</v>
      </c>
    </row>
    <row r="297" spans="1:5">
      <c r="A297" s="104" t="str">
        <f t="shared" si="8"/>
        <v>vacche madri &amp; vitelli q. SS</v>
      </c>
      <c r="B297" s="476" t="s">
        <v>975</v>
      </c>
      <c r="C297" s="476" t="s">
        <v>891</v>
      </c>
      <c r="D297" s="656" t="s">
        <v>1056</v>
      </c>
    </row>
    <row r="298" spans="1:5">
      <c r="A298" s="104" t="str">
        <f t="shared" si="8"/>
        <v>quantità</v>
      </c>
      <c r="B298" s="476" t="s">
        <v>460</v>
      </c>
      <c r="C298" s="6" t="s">
        <v>1147</v>
      </c>
      <c r="D298" s="656" t="s">
        <v>1059</v>
      </c>
    </row>
    <row r="299" spans="1:5">
      <c r="A299" s="104" t="str">
        <f t="shared" si="8"/>
        <v>q SS</v>
      </c>
      <c r="B299" s="6" t="s">
        <v>387</v>
      </c>
      <c r="C299" s="6" t="s">
        <v>479</v>
      </c>
      <c r="D299" s="656" t="s">
        <v>851</v>
      </c>
    </row>
    <row r="300" spans="1:5">
      <c r="A300" s="104" t="str">
        <f t="shared" si="8"/>
        <v>Quantità foraggio per vacche madri &amp; vitelli &gt; quantità foraggio comperato/prodotto fuori dalla superficie foggera</v>
      </c>
      <c r="B300" s="6" t="s">
        <v>342</v>
      </c>
      <c r="C300" s="476" t="s">
        <v>570</v>
      </c>
      <c r="D300" s="656" t="s">
        <v>1060</v>
      </c>
      <c r="E300" s="442"/>
    </row>
    <row r="301" spans="1:5">
      <c r="A301" s="104"/>
      <c r="D301" s="442"/>
    </row>
    <row r="302" spans="1:5" s="103" customFormat="1">
      <c r="A302" s="103" t="str">
        <f t="shared" si="8"/>
        <v>Parte D: bilancio</v>
      </c>
      <c r="B302" s="103" t="s">
        <v>513</v>
      </c>
      <c r="C302" s="103" t="s">
        <v>748</v>
      </c>
      <c r="D302" s="441" t="s">
        <v>989</v>
      </c>
    </row>
    <row r="303" spans="1:5">
      <c r="A303" s="104" t="str">
        <f t="shared" si="8"/>
        <v>Consumo totale</v>
      </c>
      <c r="B303" s="6" t="s">
        <v>503</v>
      </c>
      <c r="C303" s="6" t="s">
        <v>340</v>
      </c>
      <c r="D303" s="442" t="s">
        <v>990</v>
      </c>
    </row>
    <row r="304" spans="1:5">
      <c r="A304" s="104" t="str">
        <f t="shared" si="8"/>
        <v>[+] Perdite e margine d'errore</v>
      </c>
      <c r="B304" s="6" t="s">
        <v>175</v>
      </c>
      <c r="C304" s="476" t="s">
        <v>176</v>
      </c>
      <c r="D304" s="442" t="s">
        <v>991</v>
      </c>
    </row>
    <row r="305" spans="1:5">
      <c r="A305" s="104" t="str">
        <f t="shared" si="8"/>
        <v>[+] Consumo durante l'estivazione</v>
      </c>
      <c r="B305" s="6" t="s">
        <v>257</v>
      </c>
      <c r="C305" s="476" t="s">
        <v>258</v>
      </c>
      <c r="D305" s="656" t="s">
        <v>940</v>
      </c>
    </row>
    <row r="306" spans="1:5">
      <c r="A306" s="104" t="str">
        <f t="shared" si="8"/>
        <v>Produzione</v>
      </c>
      <c r="B306" s="6" t="s">
        <v>500</v>
      </c>
      <c r="C306" s="476" t="s">
        <v>471</v>
      </c>
      <c r="D306" s="442" t="s">
        <v>992</v>
      </c>
    </row>
    <row r="307" spans="1:5">
      <c r="A307" s="104" t="str">
        <f t="shared" si="8"/>
        <v>Ritiri</v>
      </c>
      <c r="B307" s="6" t="s">
        <v>501</v>
      </c>
      <c r="C307" s="476" t="s">
        <v>333</v>
      </c>
      <c r="D307" s="442" t="s">
        <v>993</v>
      </c>
    </row>
    <row r="308" spans="1:5">
      <c r="A308" s="104" t="str">
        <f t="shared" si="8"/>
        <v>[+] Foraggi/concentrati durante l'estivazione</v>
      </c>
      <c r="B308" s="6" t="s">
        <v>259</v>
      </c>
      <c r="C308" s="476" t="s">
        <v>95</v>
      </c>
      <c r="D308" s="656" t="s">
        <v>941</v>
      </c>
    </row>
    <row r="309" spans="1:5">
      <c r="A309" s="104" t="str">
        <f t="shared" si="8"/>
        <v>Cessioni</v>
      </c>
      <c r="B309" s="6" t="s">
        <v>502</v>
      </c>
      <c r="C309" s="476" t="s">
        <v>334</v>
      </c>
      <c r="D309" s="442" t="s">
        <v>954</v>
      </c>
    </row>
    <row r="310" spans="1:5">
      <c r="A310" s="104" t="str">
        <f t="shared" si="8"/>
        <v>[-] Foraggio di base altri animali</v>
      </c>
      <c r="B310" s="6" t="s">
        <v>504</v>
      </c>
      <c r="C310" s="6" t="s">
        <v>749</v>
      </c>
      <c r="D310" s="442" t="s">
        <v>994</v>
      </c>
    </row>
    <row r="311" spans="1:5">
      <c r="A311" s="104" t="str">
        <f t="shared" si="8"/>
        <v>Bilancio</v>
      </c>
      <c r="B311" s="6" t="s">
        <v>505</v>
      </c>
      <c r="C311" s="6" t="s">
        <v>335</v>
      </c>
      <c r="D311" s="442" t="s">
        <v>995</v>
      </c>
    </row>
    <row r="312" spans="1:5" ht="12.75" customHeight="1">
      <c r="A312" s="104" t="str">
        <f t="shared" si="8"/>
        <v>Percentuali richieste nella razione</v>
      </c>
      <c r="B312" s="6" t="s">
        <v>1239</v>
      </c>
      <c r="C312" s="104" t="s">
        <v>108</v>
      </c>
      <c r="D312" s="104" t="s">
        <v>93</v>
      </c>
      <c r="E312" s="580"/>
    </row>
    <row r="313" spans="1:5">
      <c r="A313" s="104" t="str">
        <f t="shared" si="8"/>
        <v>Totale</v>
      </c>
      <c r="B313" s="6" t="s">
        <v>592</v>
      </c>
      <c r="C313" s="6" t="s">
        <v>179</v>
      </c>
      <c r="D313" s="443" t="s">
        <v>850</v>
      </c>
      <c r="E313" s="580"/>
    </row>
    <row r="314" spans="1:5">
      <c r="A314" s="104" t="str">
        <f t="shared" si="8"/>
        <v>Fabbisogno</v>
      </c>
      <c r="B314" s="6" t="s">
        <v>378</v>
      </c>
      <c r="C314" s="6" t="s">
        <v>180</v>
      </c>
      <c r="D314" s="443" t="s">
        <v>996</v>
      </c>
    </row>
    <row r="315" spans="1:5">
      <c r="A315" s="104" t="str">
        <f t="shared" si="8"/>
        <v>Prati e</v>
      </c>
      <c r="B315" s="6" t="s">
        <v>549</v>
      </c>
      <c r="C315" s="6" t="s">
        <v>762</v>
      </c>
      <c r="D315" s="443" t="s">
        <v>997</v>
      </c>
    </row>
    <row r="316" spans="1:5">
      <c r="A316" s="104" t="str">
        <f t="shared" si="8"/>
        <v>pascoli</v>
      </c>
      <c r="B316" s="6" t="s">
        <v>640</v>
      </c>
      <c r="C316" s="6" t="s">
        <v>750</v>
      </c>
      <c r="D316" s="443" t="s">
        <v>998</v>
      </c>
    </row>
    <row r="317" spans="1:5">
      <c r="A317" s="104" t="str">
        <f t="shared" si="8"/>
        <v>Altri foraggi di base</v>
      </c>
      <c r="B317" s="6" t="s">
        <v>506</v>
      </c>
      <c r="C317" s="6" t="s">
        <v>751</v>
      </c>
      <c r="D317" s="443" t="s">
        <v>999</v>
      </c>
    </row>
    <row r="318" spans="1:5">
      <c r="A318" s="104" t="str">
        <f t="shared" si="8"/>
        <v>total</v>
      </c>
      <c r="B318" s="6" t="s">
        <v>478</v>
      </c>
      <c r="C318" s="6" t="s">
        <v>1145</v>
      </c>
      <c r="D318" s="443" t="s">
        <v>478</v>
      </c>
    </row>
    <row r="319" spans="1:5">
      <c r="A319" s="104" t="str">
        <f t="shared" ref="A319:A365" si="9">IF($A$2=1,B319,IF($A$2=2,C319,IF($A$2=3,D319,"")))</f>
        <v>Concentrati</v>
      </c>
      <c r="B319" s="6" t="s">
        <v>472</v>
      </c>
      <c r="C319" s="6" t="s">
        <v>752</v>
      </c>
      <c r="D319" s="443" t="s">
        <v>1073</v>
      </c>
    </row>
    <row r="320" spans="1:5">
      <c r="A320" s="104" t="str">
        <f t="shared" si="9"/>
        <v>(A4+A7 in SS)</v>
      </c>
      <c r="B320" s="6" t="s">
        <v>262</v>
      </c>
      <c r="C320" s="6" t="s">
        <v>313</v>
      </c>
      <c r="D320" s="443" t="s">
        <v>314</v>
      </c>
    </row>
    <row r="321" spans="1:4">
      <c r="A321" s="104" t="str">
        <f t="shared" si="9"/>
        <v>UBGFG/ha sup. inerb.</v>
      </c>
      <c r="B321" s="6" t="s">
        <v>590</v>
      </c>
      <c r="C321" s="6" t="s">
        <v>393</v>
      </c>
      <c r="D321" s="443" t="s">
        <v>1000</v>
      </c>
    </row>
    <row r="322" spans="1:4">
      <c r="A322" s="104" t="str">
        <f t="shared" si="9"/>
        <v>Le cessioni sono più elevate della produzione</v>
      </c>
      <c r="B322" s="6" t="s">
        <v>1120</v>
      </c>
      <c r="C322" s="476" t="s">
        <v>164</v>
      </c>
      <c r="D322" s="104" t="s">
        <v>1245</v>
      </c>
    </row>
    <row r="323" spans="1:4" ht="14.25">
      <c r="A323" s="104" t="str">
        <f t="shared" si="9"/>
        <v>I requisiti relativi alle percentuali nella razione sono soddisfatti?</v>
      </c>
      <c r="B323" s="6" t="s">
        <v>1262</v>
      </c>
      <c r="C323" s="104" t="s">
        <v>109</v>
      </c>
      <c r="D323" s="104" t="s">
        <v>94</v>
      </c>
    </row>
    <row r="324" spans="1:4">
      <c r="A324" s="104" t="str">
        <f t="shared" si="9"/>
        <v>Carico minimo animale per ottenere 100 % dei contributo PLCSI (UBGFG/ha d'erba)</v>
      </c>
      <c r="B324" s="6" t="s">
        <v>1119</v>
      </c>
      <c r="C324" s="495" t="s">
        <v>1244</v>
      </c>
      <c r="D324" s="104" t="s">
        <v>1243</v>
      </c>
    </row>
    <row r="325" spans="1:4">
      <c r="A325" s="104" t="str">
        <f t="shared" si="9"/>
        <v>sì</v>
      </c>
      <c r="B325" s="6" t="s">
        <v>327</v>
      </c>
      <c r="C325" s="6" t="s">
        <v>328</v>
      </c>
      <c r="D325" s="443" t="s">
        <v>832</v>
      </c>
    </row>
    <row r="326" spans="1:4">
      <c r="A326" s="104" t="str">
        <f t="shared" si="9"/>
        <v>no</v>
      </c>
      <c r="B326" s="6" t="s">
        <v>329</v>
      </c>
      <c r="C326" s="6" t="s">
        <v>330</v>
      </c>
      <c r="D326" s="442" t="s">
        <v>833</v>
      </c>
    </row>
    <row r="327" spans="1:4">
      <c r="A327" s="104" t="str">
        <f t="shared" si="9"/>
        <v>I produttori del software o la consulenza non si assumono la responsabilità di danni derivanti dell'utilizzo del software stesso.</v>
      </c>
      <c r="B327" s="6" t="s">
        <v>763</v>
      </c>
      <c r="C327" s="6" t="s">
        <v>764</v>
      </c>
      <c r="D327" s="442" t="s">
        <v>1072</v>
      </c>
    </row>
    <row r="328" spans="1:4">
      <c r="A328" s="104" t="str">
        <f t="shared" si="9"/>
        <v>Questo strumento serve a provare che i requisiti del bilancio foraggero sono soddisfatti per il programma PLCSI</v>
      </c>
      <c r="B328" s="6" t="s">
        <v>1083</v>
      </c>
      <c r="C328" s="476" t="s">
        <v>165</v>
      </c>
      <c r="D328" s="656" t="s">
        <v>1242</v>
      </c>
    </row>
    <row r="329" spans="1:4">
      <c r="A329" s="104" t="str">
        <f t="shared" si="9"/>
        <v>Luogo e data:</v>
      </c>
      <c r="B329" s="6" t="s">
        <v>336</v>
      </c>
      <c r="C329" s="6" t="s">
        <v>338</v>
      </c>
      <c r="D329" s="442" t="s">
        <v>1001</v>
      </c>
    </row>
    <row r="330" spans="1:4">
      <c r="A330" s="104" t="str">
        <f t="shared" si="9"/>
        <v>Firma:</v>
      </c>
      <c r="B330" s="6" t="s">
        <v>337</v>
      </c>
      <c r="C330" s="6" t="s">
        <v>339</v>
      </c>
      <c r="D330" s="442" t="s">
        <v>1002</v>
      </c>
    </row>
    <row r="331" spans="1:4">
      <c r="A331" s="104">
        <f t="shared" si="9"/>
        <v>0</v>
      </c>
      <c r="D331" s="442"/>
    </row>
    <row r="332" spans="1:4" s="103" customFormat="1">
      <c r="A332" s="103" t="str">
        <f t="shared" si="9"/>
        <v>bilancio per vacche madri e vitelli</v>
      </c>
      <c r="B332" s="103" t="s">
        <v>972</v>
      </c>
      <c r="C332" s="103" t="s">
        <v>896</v>
      </c>
      <c r="D332" s="441" t="s">
        <v>897</v>
      </c>
    </row>
    <row r="333" spans="1:4">
      <c r="A333" s="104" t="str">
        <f t="shared" si="9"/>
        <v>Totale</v>
      </c>
      <c r="B333" s="6" t="s">
        <v>592</v>
      </c>
      <c r="C333" s="6" t="s">
        <v>179</v>
      </c>
      <c r="D333" s="443" t="s">
        <v>850</v>
      </c>
    </row>
    <row r="334" spans="1:4">
      <c r="A334" s="104" t="str">
        <f t="shared" si="9"/>
        <v>Fabbisogno</v>
      </c>
      <c r="B334" s="6" t="s">
        <v>378</v>
      </c>
      <c r="C334" s="6" t="s">
        <v>180</v>
      </c>
      <c r="D334" s="443" t="s">
        <v>996</v>
      </c>
    </row>
    <row r="335" spans="1:4">
      <c r="A335" s="104" t="str">
        <f t="shared" si="9"/>
        <v>Prati e</v>
      </c>
      <c r="B335" s="6" t="s">
        <v>549</v>
      </c>
      <c r="C335" s="6" t="s">
        <v>762</v>
      </c>
      <c r="D335" s="443" t="s">
        <v>997</v>
      </c>
    </row>
    <row r="336" spans="1:4">
      <c r="A336" s="104" t="str">
        <f t="shared" si="9"/>
        <v>pascoli</v>
      </c>
      <c r="B336" s="6" t="s">
        <v>640</v>
      </c>
      <c r="C336" s="6" t="s">
        <v>750</v>
      </c>
      <c r="D336" s="443" t="s">
        <v>998</v>
      </c>
    </row>
    <row r="337" spans="1:4">
      <c r="A337" s="104" t="str">
        <f t="shared" si="9"/>
        <v>Altri foraggi di base</v>
      </c>
      <c r="B337" s="6" t="s">
        <v>973</v>
      </c>
      <c r="C337" s="6" t="s">
        <v>751</v>
      </c>
      <c r="D337" s="443" t="s">
        <v>999</v>
      </c>
    </row>
    <row r="338" spans="1:4">
      <c r="A338" s="104" t="str">
        <f t="shared" si="9"/>
        <v>total</v>
      </c>
      <c r="B338" s="6" t="s">
        <v>974</v>
      </c>
      <c r="C338" s="6" t="s">
        <v>1145</v>
      </c>
      <c r="D338" s="443" t="s">
        <v>478</v>
      </c>
    </row>
    <row r="339" spans="1:4">
      <c r="A339" s="104" t="str">
        <f t="shared" si="9"/>
        <v>Concentrati</v>
      </c>
      <c r="B339" s="6" t="s">
        <v>472</v>
      </c>
      <c r="C339" s="6" t="s">
        <v>752</v>
      </c>
      <c r="D339" s="443" t="s">
        <v>1073</v>
      </c>
    </row>
    <row r="340" spans="1:4">
      <c r="A340" s="104" t="str">
        <f t="shared" si="9"/>
        <v>V. madri&amp;vitelli, requisiti soddisfatti</v>
      </c>
      <c r="B340" s="476" t="s">
        <v>976</v>
      </c>
      <c r="C340" s="476" t="s">
        <v>569</v>
      </c>
      <c r="D340" s="656" t="s">
        <v>1062</v>
      </c>
    </row>
    <row r="341" spans="1:4">
      <c r="A341" s="104" t="str">
        <f t="shared" si="9"/>
        <v>sì</v>
      </c>
      <c r="B341" s="6" t="s">
        <v>327</v>
      </c>
      <c r="C341" s="6" t="s">
        <v>328</v>
      </c>
      <c r="D341" s="443" t="s">
        <v>832</v>
      </c>
    </row>
    <row r="342" spans="1:4">
      <c r="A342" s="104" t="str">
        <f t="shared" si="9"/>
        <v>no</v>
      </c>
      <c r="B342" s="6" t="s">
        <v>329</v>
      </c>
      <c r="C342" s="6" t="s">
        <v>330</v>
      </c>
      <c r="D342" s="442" t="s">
        <v>833</v>
      </c>
    </row>
    <row r="343" spans="1:4">
      <c r="A343" s="104" t="str">
        <f t="shared" si="9"/>
        <v>bilancio animali che consumano foraggio grezzo</v>
      </c>
      <c r="B343" s="6" t="s">
        <v>571</v>
      </c>
      <c r="C343" s="6" t="s">
        <v>898</v>
      </c>
      <c r="D343" s="656" t="s">
        <v>1182</v>
      </c>
    </row>
    <row r="344" spans="1:4">
      <c r="A344" s="104" t="str">
        <f t="shared" si="9"/>
        <v>Compilare la parte "vacche madri &amp; vitelli", anche se "0"</v>
      </c>
      <c r="B344" s="6" t="s">
        <v>126</v>
      </c>
      <c r="C344" s="6" t="s">
        <v>127</v>
      </c>
      <c r="D344" s="656" t="s">
        <v>1061</v>
      </c>
    </row>
    <row r="345" spans="1:4">
      <c r="A345" s="104"/>
      <c r="D345" s="442"/>
    </row>
    <row r="346" spans="1:4">
      <c r="A346" s="103" t="s">
        <v>1026</v>
      </c>
      <c r="D346" s="442"/>
    </row>
    <row r="347" spans="1:4" s="103" customFormat="1">
      <c r="A347" s="104" t="str">
        <f t="shared" si="9"/>
        <v>Norme animali</v>
      </c>
      <c r="B347" s="103" t="s">
        <v>172</v>
      </c>
      <c r="C347" s="103" t="s">
        <v>401</v>
      </c>
      <c r="D347" s="441" t="s">
        <v>1006</v>
      </c>
    </row>
    <row r="348" spans="1:4">
      <c r="A348" s="104" t="str">
        <f t="shared" si="9"/>
        <v>Categoria animale</v>
      </c>
      <c r="B348" s="6" t="s">
        <v>368</v>
      </c>
      <c r="C348" s="6" t="s">
        <v>474</v>
      </c>
      <c r="D348" s="442" t="s">
        <v>1007</v>
      </c>
    </row>
    <row r="349" spans="1:4">
      <c r="A349" s="104" t="str">
        <f t="shared" si="9"/>
        <v>Unità</v>
      </c>
      <c r="B349" s="6" t="s">
        <v>386</v>
      </c>
      <c r="C349" s="6" t="s">
        <v>634</v>
      </c>
      <c r="D349" s="442" t="s">
        <v>835</v>
      </c>
    </row>
    <row r="350" spans="1:4">
      <c r="A350" s="104" t="str">
        <f t="shared" si="9"/>
        <v>Consumo</v>
      </c>
      <c r="B350" s="6" t="s">
        <v>534</v>
      </c>
      <c r="C350" s="6" t="s">
        <v>473</v>
      </c>
      <c r="D350" s="442" t="s">
        <v>846</v>
      </c>
    </row>
    <row r="351" spans="1:4">
      <c r="A351" s="104" t="str">
        <f t="shared" si="9"/>
        <v>di foraggio</v>
      </c>
      <c r="B351" s="6" t="s">
        <v>533</v>
      </c>
      <c r="C351" s="6" t="s">
        <v>402</v>
      </c>
      <c r="D351" s="442" t="s">
        <v>1008</v>
      </c>
    </row>
    <row r="352" spans="1:4">
      <c r="A352" s="104" t="str">
        <f t="shared" si="9"/>
        <v>SS/giorno</v>
      </c>
      <c r="B352" s="6" t="s">
        <v>173</v>
      </c>
      <c r="C352" s="6" t="s">
        <v>403</v>
      </c>
      <c r="D352" s="442" t="s">
        <v>1009</v>
      </c>
    </row>
    <row r="353" spans="1:4">
      <c r="A353" s="104" t="str">
        <f t="shared" si="9"/>
        <v>SS/anno</v>
      </c>
      <c r="B353" s="6" t="s">
        <v>174</v>
      </c>
      <c r="C353" s="6" t="s">
        <v>177</v>
      </c>
      <c r="D353" s="442" t="s">
        <v>1010</v>
      </c>
    </row>
    <row r="354" spans="1:4">
      <c r="A354" s="104" t="str">
        <f t="shared" si="9"/>
        <v>UBG</v>
      </c>
      <c r="B354" s="6" t="s">
        <v>436</v>
      </c>
      <c r="C354" s="6" t="s">
        <v>377</v>
      </c>
      <c r="D354" s="442" t="s">
        <v>1011</v>
      </c>
    </row>
    <row r="355" spans="1:4">
      <c r="A355" s="104" t="str">
        <f t="shared" si="9"/>
        <v>Coefficienti</v>
      </c>
      <c r="B355" s="6" t="s">
        <v>178</v>
      </c>
      <c r="C355" s="6" t="s">
        <v>437</v>
      </c>
      <c r="D355" s="442" t="s">
        <v>1012</v>
      </c>
    </row>
    <row r="356" spans="1:4">
      <c r="A356" s="104" t="str">
        <f t="shared" si="9"/>
        <v>Unità</v>
      </c>
      <c r="B356" s="6" t="s">
        <v>386</v>
      </c>
      <c r="C356" s="6" t="s">
        <v>376</v>
      </c>
      <c r="D356" s="442" t="s">
        <v>835</v>
      </c>
    </row>
    <row r="357" spans="1:4">
      <c r="A357" s="104" t="str">
        <f t="shared" si="9"/>
        <v>100 poste</v>
      </c>
      <c r="B357" s="6" t="s">
        <v>557</v>
      </c>
      <c r="C357" s="6" t="s">
        <v>543</v>
      </c>
      <c r="D357" s="442" t="s">
        <v>1013</v>
      </c>
    </row>
    <row r="358" spans="1:4">
      <c r="A358" s="104" t="str">
        <f t="shared" si="9"/>
        <v>1 capo</v>
      </c>
      <c r="B358" s="6" t="s">
        <v>538</v>
      </c>
      <c r="C358" s="6" t="s">
        <v>536</v>
      </c>
      <c r="D358" s="442" t="s">
        <v>1014</v>
      </c>
    </row>
    <row r="359" spans="1:4">
      <c r="A359" s="104" t="str">
        <f t="shared" si="9"/>
        <v>1 posta</v>
      </c>
      <c r="B359" s="6" t="s">
        <v>539</v>
      </c>
      <c r="C359" s="6" t="s">
        <v>537</v>
      </c>
      <c r="D359" s="442" t="s">
        <v>1015</v>
      </c>
    </row>
    <row r="360" spans="1:4">
      <c r="A360" s="104" t="str">
        <f t="shared" si="9"/>
        <v>valore limite</v>
      </c>
      <c r="B360" s="6" t="s">
        <v>664</v>
      </c>
      <c r="C360" s="6" t="s">
        <v>668</v>
      </c>
      <c r="D360" s="657" t="s">
        <v>1071</v>
      </c>
    </row>
    <row r="361" spans="1:4">
      <c r="A361" s="104" t="str">
        <f t="shared" si="9"/>
        <v>regione di pianura</v>
      </c>
      <c r="B361" s="6" t="s">
        <v>666</v>
      </c>
      <c r="C361" s="6" t="s">
        <v>669</v>
      </c>
      <c r="D361" s="657" t="s">
        <v>1070</v>
      </c>
    </row>
    <row r="362" spans="1:4">
      <c r="A362" s="104" t="str">
        <f t="shared" si="9"/>
        <v>regione di montagna</v>
      </c>
      <c r="B362" s="6" t="s">
        <v>667</v>
      </c>
      <c r="C362" s="6" t="s">
        <v>670</v>
      </c>
      <c r="D362" s="657" t="s">
        <v>1069</v>
      </c>
    </row>
    <row r="363" spans="1:4">
      <c r="A363" s="104" t="str">
        <f t="shared" si="9"/>
        <v>rosso = non rispettata</v>
      </c>
      <c r="B363" s="6" t="s">
        <v>665</v>
      </c>
      <c r="C363" s="6" t="s">
        <v>671</v>
      </c>
      <c r="D363" s="657" t="s">
        <v>1068</v>
      </c>
    </row>
    <row r="364" spans="1:4">
      <c r="A364" s="104" t="str">
        <f t="shared" si="9"/>
        <v>La regione non è stata inserita</v>
      </c>
      <c r="B364" s="6" t="s">
        <v>1084</v>
      </c>
      <c r="C364" s="476" t="s">
        <v>166</v>
      </c>
      <c r="D364" s="104" t="s">
        <v>1246</v>
      </c>
    </row>
    <row r="365" spans="1:4">
      <c r="A365" s="104" t="str">
        <f t="shared" si="9"/>
        <v>altri foraggi di base</v>
      </c>
      <c r="B365" s="6" t="s">
        <v>348</v>
      </c>
      <c r="C365" s="476" t="s">
        <v>349</v>
      </c>
      <c r="D365" s="104" t="s">
        <v>350</v>
      </c>
    </row>
    <row r="366" spans="1:4">
      <c r="D366" s="104"/>
    </row>
    <row r="367" spans="1:4">
      <c r="A367" s="103" t="s">
        <v>1247</v>
      </c>
      <c r="D367" s="656"/>
    </row>
    <row r="368" spans="1:4">
      <c r="A368" s="104" t="str">
        <f t="shared" ref="A368:A373" si="10">IF($A$2=1,B368,IF($A$2=2,C368,IF($A$2=3,D368,"")))</f>
        <v>Informazioni complementari</v>
      </c>
      <c r="B368" s="104" t="s">
        <v>1261</v>
      </c>
      <c r="C368" s="104" t="s">
        <v>1268</v>
      </c>
      <c r="D368" s="104" t="s">
        <v>1154</v>
      </c>
    </row>
    <row r="369" spans="1:4">
      <c r="A369" s="104" t="str">
        <f t="shared" si="10"/>
        <v xml:space="preserve">Il calcolo del carico effettivo di bestiame per il bilancio foraggero 2018 si basa sugli effettivi </v>
      </c>
      <c r="B369" s="149" t="s">
        <v>1290</v>
      </c>
      <c r="C369" s="104" t="s">
        <v>1292</v>
      </c>
      <c r="D369" s="104" t="s">
        <v>1294</v>
      </c>
    </row>
    <row r="370" spans="1:4">
      <c r="A370" s="104" t="str">
        <f t="shared" si="10"/>
        <v>animali per il periodo 1.1.2018 – 31.12.2018. Siccome questi ultimi non sono ancora noti, l'importo</v>
      </c>
      <c r="B370" s="104" t="s">
        <v>1291</v>
      </c>
      <c r="C370" s="104" t="s">
        <v>1293</v>
      </c>
      <c r="D370" s="104" t="s">
        <v>1295</v>
      </c>
    </row>
    <row r="371" spans="1:4">
      <c r="A371" s="104" t="str">
        <f t="shared" si="10"/>
        <v xml:space="preserve">dei contributi PLCSI deve essere considerato come una stima.  </v>
      </c>
      <c r="B371" s="6" t="s">
        <v>6</v>
      </c>
      <c r="C371" s="104" t="s">
        <v>5</v>
      </c>
      <c r="D371" s="104" t="s">
        <v>1164</v>
      </c>
    </row>
    <row r="372" spans="1:4">
      <c r="A372" s="104" t="str">
        <f t="shared" si="10"/>
        <v>UBGFG totali dell'azienda</v>
      </c>
      <c r="B372" s="496" t="s">
        <v>112</v>
      </c>
      <c r="C372" s="496" t="s">
        <v>1248</v>
      </c>
      <c r="D372" s="496" t="s">
        <v>1249</v>
      </c>
    </row>
    <row r="373" spans="1:4">
      <c r="A373" s="104" t="str">
        <f t="shared" si="10"/>
        <v>Carico di bestiame effetivo (UBGFG/ha d'erba)</v>
      </c>
      <c r="B373" s="104" t="s">
        <v>1250</v>
      </c>
      <c r="C373" s="104" t="s">
        <v>1251</v>
      </c>
      <c r="D373" s="104" t="s">
        <v>1252</v>
      </c>
    </row>
    <row r="374" spans="1:4">
      <c r="A374" s="104" t="str">
        <f t="shared" ref="A374:A388" si="11">IF($A$2=1,B374,IF($A$2=2,C374,IF($A$2=3,D374,"")))</f>
        <v>Requisiti della parte … nella razione</v>
      </c>
      <c r="B374" s="104" t="s">
        <v>113</v>
      </c>
      <c r="C374" s="104" t="s">
        <v>1267</v>
      </c>
      <c r="D374" s="104" t="s">
        <v>1155</v>
      </c>
    </row>
    <row r="375" spans="1:4">
      <c r="A375" s="104" t="str">
        <f t="shared" si="11"/>
        <v xml:space="preserve">  - foraggi dei prati e pascoli</v>
      </c>
      <c r="B375" s="104" t="s">
        <v>114</v>
      </c>
      <c r="C375" s="104" t="s">
        <v>117</v>
      </c>
      <c r="D375" s="104" t="s">
        <v>1156</v>
      </c>
    </row>
    <row r="376" spans="1:4">
      <c r="A376" s="104" t="str">
        <f t="shared" si="11"/>
        <v xml:space="preserve">  - altri foraggi</v>
      </c>
      <c r="B376" s="104" t="s">
        <v>115</v>
      </c>
      <c r="C376" s="104" t="s">
        <v>118</v>
      </c>
      <c r="D376" s="104" t="s">
        <v>1157</v>
      </c>
    </row>
    <row r="377" spans="1:4">
      <c r="A377" s="104" t="str">
        <f t="shared" si="11"/>
        <v xml:space="preserve">  - concentrati</v>
      </c>
      <c r="B377" s="104" t="s">
        <v>116</v>
      </c>
      <c r="C377" s="104" t="s">
        <v>119</v>
      </c>
      <c r="D377" s="104" t="s">
        <v>1158</v>
      </c>
    </row>
    <row r="378" spans="1:4">
      <c r="A378" s="104" t="str">
        <f t="shared" si="11"/>
        <v xml:space="preserve">Requisito del carico minimo per </v>
      </c>
      <c r="B378" s="104" t="s">
        <v>1253</v>
      </c>
      <c r="C378" s="104" t="s">
        <v>1254</v>
      </c>
      <c r="D378" s="104" t="s">
        <v>1255</v>
      </c>
    </row>
    <row r="379" spans="1:4">
      <c r="A379" s="104" t="str">
        <f t="shared" si="11"/>
        <v>% di contributi PLCSI</v>
      </c>
      <c r="B379" s="104" t="s">
        <v>122</v>
      </c>
      <c r="C379" s="104" t="s">
        <v>134</v>
      </c>
      <c r="D379" s="104" t="s">
        <v>1256</v>
      </c>
    </row>
    <row r="380" spans="1:4">
      <c r="A380" s="104" t="str">
        <f t="shared" si="11"/>
        <v>che corrisponde a</v>
      </c>
      <c r="B380" s="104" t="s">
        <v>121</v>
      </c>
      <c r="C380" s="104" t="s">
        <v>0</v>
      </c>
      <c r="D380" s="104" t="s">
        <v>1159</v>
      </c>
    </row>
    <row r="381" spans="1:4">
      <c r="A381" s="104" t="str">
        <f t="shared" si="11"/>
        <v>Lei ottiene dei contributi PLCSI</v>
      </c>
      <c r="B381" s="104" t="s">
        <v>130</v>
      </c>
      <c r="C381" s="104" t="s">
        <v>1</v>
      </c>
      <c r="D381" s="104" t="s">
        <v>1160</v>
      </c>
    </row>
    <row r="382" spans="1:4">
      <c r="A382" s="104" t="str">
        <f t="shared" si="11"/>
        <v>parziale</v>
      </c>
      <c r="B382" s="104" t="s">
        <v>1257</v>
      </c>
      <c r="C382" s="104" t="s">
        <v>110</v>
      </c>
      <c r="D382" s="104" t="s">
        <v>1258</v>
      </c>
    </row>
    <row r="383" spans="1:4">
      <c r="A383" s="104" t="str">
        <f t="shared" si="11"/>
        <v>completa</v>
      </c>
      <c r="B383" s="104" t="s">
        <v>1259</v>
      </c>
      <c r="C383" s="104" t="s">
        <v>111</v>
      </c>
      <c r="D383" s="104" t="s">
        <v>1260</v>
      </c>
    </row>
    <row r="384" spans="1:4">
      <c r="A384" s="104" t="str">
        <f t="shared" si="11"/>
        <v>no</v>
      </c>
      <c r="B384" s="493" t="s">
        <v>329</v>
      </c>
      <c r="C384" s="104" t="s">
        <v>330</v>
      </c>
      <c r="D384" s="507" t="s">
        <v>833</v>
      </c>
    </row>
    <row r="385" spans="1:4">
      <c r="A385" s="104" t="str">
        <f t="shared" si="11"/>
        <v>si</v>
      </c>
      <c r="B385" s="104" t="s">
        <v>327</v>
      </c>
      <c r="C385" s="104" t="s">
        <v>328</v>
      </c>
      <c r="D385" s="104" t="s">
        <v>120</v>
      </c>
    </row>
    <row r="386" spans="1:4">
      <c r="A386" s="104" t="str">
        <f t="shared" si="11"/>
        <v>I suoi contributi non possono essere calcolati</v>
      </c>
      <c r="B386" s="104" t="s">
        <v>133</v>
      </c>
      <c r="C386" s="104" t="s">
        <v>2</v>
      </c>
      <c r="D386" s="104" t="s">
        <v>1161</v>
      </c>
    </row>
    <row r="387" spans="1:4">
      <c r="A387" s="104" t="str">
        <f t="shared" si="11"/>
        <v>Inserire per favore il numero totale di UBGFG della vostra azienda</v>
      </c>
      <c r="B387" s="104" t="s">
        <v>132</v>
      </c>
      <c r="C387" s="104" t="s">
        <v>3</v>
      </c>
      <c r="D387" s="104" t="s">
        <v>1162</v>
      </c>
    </row>
    <row r="388" spans="1:4">
      <c r="A388" s="104" t="str">
        <f t="shared" si="11"/>
        <v>Lei non ottiene NESSUN contributo</v>
      </c>
      <c r="B388" s="104" t="s">
        <v>131</v>
      </c>
      <c r="C388" s="104" t="s">
        <v>4</v>
      </c>
      <c r="D388" s="104" t="s">
        <v>1163</v>
      </c>
    </row>
    <row r="389" spans="1:4" ht="14.25">
      <c r="A389" s="104" t="str">
        <f>IF($A$2=1,B389,IF($A$2=2,C389,IF($A$2=3,D389,"")))</f>
        <v>Requisiti soddisfacenti delle varie parti (erba, concentrati) della razione</v>
      </c>
      <c r="B389" s="104" t="s">
        <v>1263</v>
      </c>
      <c r="C389" s="497" t="s">
        <v>1264</v>
      </c>
      <c r="D389" s="443" t="s">
        <v>1265</v>
      </c>
    </row>
    <row r="390" spans="1:4">
      <c r="D390" s="656"/>
    </row>
    <row r="391" spans="1:4">
      <c r="A391" s="103" t="s">
        <v>105</v>
      </c>
      <c r="D391" s="656"/>
    </row>
    <row r="392" spans="1:4">
      <c r="A392" s="104">
        <f t="shared" ref="A392:A428" si="12">IF($A$2=1,B392,IF($A$2=2,C392,IF($A$2=3,D392,"")))</f>
        <v>0</v>
      </c>
      <c r="B392" s="6" t="s">
        <v>8</v>
      </c>
      <c r="C392" s="6" t="s">
        <v>9</v>
      </c>
      <c r="D392" s="656"/>
    </row>
    <row r="393" spans="1:4">
      <c r="A393" s="104">
        <f t="shared" si="12"/>
        <v>0</v>
      </c>
      <c r="B393" s="6" t="s">
        <v>10</v>
      </c>
      <c r="C393" s="6" t="s">
        <v>11</v>
      </c>
      <c r="D393" s="656"/>
    </row>
    <row r="394" spans="1:4">
      <c r="A394" s="104">
        <f t="shared" si="12"/>
        <v>0</v>
      </c>
      <c r="B394" s="6" t="s">
        <v>12</v>
      </c>
      <c r="C394" s="6" t="s">
        <v>13</v>
      </c>
      <c r="D394" s="656"/>
    </row>
    <row r="395" spans="1:4">
      <c r="A395" s="104">
        <f t="shared" si="12"/>
        <v>0</v>
      </c>
      <c r="B395" s="6" t="s">
        <v>14</v>
      </c>
      <c r="C395" s="6" t="s">
        <v>15</v>
      </c>
      <c r="D395" s="656"/>
    </row>
    <row r="396" spans="1:4">
      <c r="A396" s="104">
        <f t="shared" si="12"/>
        <v>0</v>
      </c>
      <c r="B396" s="6" t="s">
        <v>16</v>
      </c>
      <c r="C396" s="6" t="s">
        <v>17</v>
      </c>
      <c r="D396" s="656"/>
    </row>
    <row r="397" spans="1:4">
      <c r="A397" s="104">
        <f t="shared" si="12"/>
        <v>0</v>
      </c>
      <c r="B397" s="6" t="s">
        <v>18</v>
      </c>
      <c r="C397" s="6" t="s">
        <v>19</v>
      </c>
      <c r="D397" s="656"/>
    </row>
    <row r="398" spans="1:4">
      <c r="A398" s="104">
        <f t="shared" si="12"/>
        <v>0</v>
      </c>
      <c r="B398" s="6" t="s">
        <v>20</v>
      </c>
      <c r="C398" s="6" t="s">
        <v>21</v>
      </c>
      <c r="D398" s="656"/>
    </row>
    <row r="399" spans="1:4">
      <c r="A399" s="104">
        <f t="shared" si="12"/>
        <v>0</v>
      </c>
      <c r="B399" s="6" t="s">
        <v>22</v>
      </c>
      <c r="C399" s="6" t="s">
        <v>23</v>
      </c>
      <c r="D399" s="656"/>
    </row>
    <row r="400" spans="1:4">
      <c r="A400" s="104">
        <f t="shared" si="12"/>
        <v>0</v>
      </c>
      <c r="B400" s="6" t="s">
        <v>24</v>
      </c>
      <c r="C400" s="6" t="s">
        <v>25</v>
      </c>
      <c r="D400" s="656"/>
    </row>
    <row r="401" spans="1:4">
      <c r="A401" s="104">
        <f t="shared" si="12"/>
        <v>0</v>
      </c>
      <c r="B401" s="6" t="s">
        <v>26</v>
      </c>
      <c r="C401" s="6" t="s">
        <v>27</v>
      </c>
      <c r="D401" s="656"/>
    </row>
    <row r="402" spans="1:4">
      <c r="A402" s="104">
        <f t="shared" si="12"/>
        <v>0</v>
      </c>
      <c r="B402" s="6" t="s">
        <v>28</v>
      </c>
      <c r="C402" s="6" t="s">
        <v>29</v>
      </c>
      <c r="D402" s="656"/>
    </row>
    <row r="403" spans="1:4">
      <c r="A403" s="104">
        <f t="shared" si="12"/>
        <v>0</v>
      </c>
      <c r="B403" s="6" t="s">
        <v>30</v>
      </c>
      <c r="C403" s="6" t="s">
        <v>31</v>
      </c>
      <c r="D403" s="656"/>
    </row>
    <row r="404" spans="1:4">
      <c r="A404" s="104">
        <f t="shared" si="12"/>
        <v>0</v>
      </c>
      <c r="B404" s="6" t="s">
        <v>32</v>
      </c>
      <c r="C404" s="6" t="s">
        <v>33</v>
      </c>
      <c r="D404" s="656"/>
    </row>
    <row r="405" spans="1:4">
      <c r="A405" s="104">
        <f t="shared" si="12"/>
        <v>0</v>
      </c>
      <c r="B405" s="6" t="s">
        <v>34</v>
      </c>
      <c r="C405" s="6" t="s">
        <v>35</v>
      </c>
      <c r="D405" s="656"/>
    </row>
    <row r="406" spans="1:4">
      <c r="A406" s="104">
        <f t="shared" si="12"/>
        <v>0</v>
      </c>
      <c r="B406" s="6" t="s">
        <v>36</v>
      </c>
      <c r="C406" s="6" t="s">
        <v>37</v>
      </c>
      <c r="D406" s="656"/>
    </row>
    <row r="407" spans="1:4">
      <c r="A407" s="104">
        <f t="shared" si="12"/>
        <v>0</v>
      </c>
      <c r="B407" s="6" t="s">
        <v>38</v>
      </c>
      <c r="C407" s="6" t="s">
        <v>39</v>
      </c>
      <c r="D407" s="656"/>
    </row>
    <row r="408" spans="1:4">
      <c r="A408" s="104">
        <f t="shared" si="12"/>
        <v>0</v>
      </c>
      <c r="B408" s="6" t="s">
        <v>40</v>
      </c>
      <c r="C408" s="6" t="s">
        <v>41</v>
      </c>
      <c r="D408" s="656"/>
    </row>
    <row r="409" spans="1:4">
      <c r="A409" s="104">
        <f t="shared" si="12"/>
        <v>0</v>
      </c>
      <c r="B409" s="6" t="s">
        <v>46</v>
      </c>
      <c r="C409" s="6" t="s">
        <v>47</v>
      </c>
      <c r="D409" s="656"/>
    </row>
    <row r="410" spans="1:4">
      <c r="A410" s="104">
        <f t="shared" si="12"/>
        <v>0</v>
      </c>
      <c r="B410" s="6" t="s">
        <v>48</v>
      </c>
      <c r="C410" s="6" t="s">
        <v>49</v>
      </c>
      <c r="D410" s="656"/>
    </row>
    <row r="411" spans="1:4">
      <c r="A411" s="104">
        <f t="shared" si="12"/>
        <v>0</v>
      </c>
      <c r="B411" s="6" t="s">
        <v>395</v>
      </c>
      <c r="C411" s="6" t="s">
        <v>50</v>
      </c>
      <c r="D411" s="656"/>
    </row>
    <row r="412" spans="1:4">
      <c r="A412" s="104">
        <f t="shared" si="12"/>
        <v>0</v>
      </c>
      <c r="B412" s="6" t="s">
        <v>51</v>
      </c>
      <c r="C412" s="6" t="s">
        <v>52</v>
      </c>
      <c r="D412" s="656"/>
    </row>
    <row r="413" spans="1:4">
      <c r="A413" s="104">
        <f t="shared" si="12"/>
        <v>0</v>
      </c>
      <c r="B413" s="6" t="s">
        <v>53</v>
      </c>
      <c r="C413" s="6" t="s">
        <v>54</v>
      </c>
      <c r="D413" s="656"/>
    </row>
    <row r="414" spans="1:4">
      <c r="A414" s="104">
        <f t="shared" si="12"/>
        <v>0</v>
      </c>
      <c r="B414" s="6" t="s">
        <v>55</v>
      </c>
      <c r="C414" s="6" t="s">
        <v>56</v>
      </c>
      <c r="D414" s="656"/>
    </row>
    <row r="415" spans="1:4">
      <c r="A415" s="104">
        <f t="shared" si="12"/>
        <v>0</v>
      </c>
      <c r="B415" s="6" t="s">
        <v>57</v>
      </c>
      <c r="C415" s="6" t="s">
        <v>58</v>
      </c>
      <c r="D415" s="656"/>
    </row>
    <row r="416" spans="1:4">
      <c r="A416" s="104">
        <f t="shared" si="12"/>
        <v>0</v>
      </c>
      <c r="B416" s="6" t="s">
        <v>59</v>
      </c>
      <c r="C416" s="6" t="s">
        <v>60</v>
      </c>
      <c r="D416" s="656"/>
    </row>
    <row r="417" spans="1:4">
      <c r="A417" s="104">
        <f t="shared" si="12"/>
        <v>0</v>
      </c>
      <c r="B417" s="6" t="s">
        <v>61</v>
      </c>
      <c r="C417" s="6" t="s">
        <v>62</v>
      </c>
      <c r="D417" s="656"/>
    </row>
    <row r="418" spans="1:4">
      <c r="A418" s="104">
        <f t="shared" si="12"/>
        <v>0</v>
      </c>
      <c r="B418" s="6" t="s">
        <v>63</v>
      </c>
      <c r="C418" s="6" t="s">
        <v>64</v>
      </c>
      <c r="D418" s="656"/>
    </row>
    <row r="419" spans="1:4">
      <c r="A419" s="104">
        <f t="shared" si="12"/>
        <v>0</v>
      </c>
      <c r="B419" s="6" t="s">
        <v>65</v>
      </c>
      <c r="C419" s="6" t="s">
        <v>66</v>
      </c>
      <c r="D419" s="656"/>
    </row>
    <row r="420" spans="1:4">
      <c r="A420" s="104">
        <f t="shared" si="12"/>
        <v>0</v>
      </c>
      <c r="B420" s="6" t="s">
        <v>67</v>
      </c>
      <c r="C420" s="6" t="s">
        <v>68</v>
      </c>
      <c r="D420" s="656"/>
    </row>
    <row r="421" spans="1:4">
      <c r="A421" s="104">
        <f t="shared" si="12"/>
        <v>0</v>
      </c>
      <c r="B421" s="516" t="s">
        <v>69</v>
      </c>
      <c r="C421" s="516" t="s">
        <v>70</v>
      </c>
      <c r="D421" s="656"/>
    </row>
    <row r="422" spans="1:4">
      <c r="A422" s="104">
        <f t="shared" si="12"/>
        <v>0</v>
      </c>
      <c r="B422" s="6" t="s">
        <v>71</v>
      </c>
      <c r="C422" s="6" t="s">
        <v>72</v>
      </c>
      <c r="D422" s="656"/>
    </row>
    <row r="423" spans="1:4">
      <c r="A423" s="104">
        <f t="shared" si="12"/>
        <v>0</v>
      </c>
      <c r="B423" s="6" t="s">
        <v>73</v>
      </c>
      <c r="C423" s="6" t="s">
        <v>74</v>
      </c>
      <c r="D423" s="656"/>
    </row>
    <row r="424" spans="1:4">
      <c r="A424" s="104">
        <f t="shared" si="12"/>
        <v>0</v>
      </c>
      <c r="B424" s="6" t="s">
        <v>75</v>
      </c>
      <c r="C424" s="6" t="s">
        <v>76</v>
      </c>
      <c r="D424" s="656"/>
    </row>
    <row r="425" spans="1:4">
      <c r="A425" s="104">
        <f t="shared" si="12"/>
        <v>0</v>
      </c>
      <c r="B425" s="6" t="s">
        <v>77</v>
      </c>
      <c r="C425" s="6" t="s">
        <v>78</v>
      </c>
      <c r="D425" s="656"/>
    </row>
    <row r="426" spans="1:4">
      <c r="A426" s="104">
        <f t="shared" si="12"/>
        <v>0</v>
      </c>
      <c r="B426" s="6" t="s">
        <v>79</v>
      </c>
      <c r="C426" s="6" t="s">
        <v>80</v>
      </c>
      <c r="D426" s="656"/>
    </row>
    <row r="427" spans="1:4">
      <c r="A427" s="104">
        <f t="shared" si="12"/>
        <v>0</v>
      </c>
      <c r="B427" s="6" t="s">
        <v>81</v>
      </c>
      <c r="C427" s="6" t="s">
        <v>82</v>
      </c>
      <c r="D427" s="656"/>
    </row>
    <row r="428" spans="1:4">
      <c r="A428" s="104">
        <f t="shared" si="12"/>
        <v>0</v>
      </c>
      <c r="B428" s="6" t="s">
        <v>83</v>
      </c>
      <c r="C428" s="6" t="s">
        <v>84</v>
      </c>
      <c r="D428" s="656"/>
    </row>
  </sheetData>
  <sheetProtection password="98F7" sheet="1" objects="1" scenarios="1"/>
  <phoneticPr fontId="2" type="noConversion"/>
  <conditionalFormatting sqref="D372">
    <cfRule type="expression" dxfId="1" priority="1" stopIfTrue="1">
      <formula>ISBLANK(D372)</formula>
    </cfRule>
    <cfRule type="cellIs" dxfId="0" priority="2" stopIfTrue="1" operator="equal">
      <formula>$C372</formula>
    </cfRule>
  </conditionalFormatting>
  <printOptions headings="1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&amp;L&amp;"Arial,Fett"&amp;11AGRIDEA &amp;"Arial,Standard"&amp;9 GMF-PLVH&amp;R&amp;9Seite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59"/>
  <sheetViews>
    <sheetView zoomScaleNormal="100" workbookViewId="0"/>
  </sheetViews>
  <sheetFormatPr defaultRowHeight="12.75"/>
  <cols>
    <col min="1" max="2" width="11.42578125" customWidth="1"/>
    <col min="3" max="3" width="36.140625" customWidth="1"/>
    <col min="4" max="4" width="36.5703125" customWidth="1"/>
    <col min="5" max="256" width="11.42578125" customWidth="1"/>
  </cols>
  <sheetData>
    <row r="1" spans="1:7">
      <c r="A1" s="437" t="s">
        <v>770</v>
      </c>
    </row>
    <row r="2" spans="1:7">
      <c r="A2" s="437" t="s">
        <v>789</v>
      </c>
      <c r="B2" s="437" t="s">
        <v>771</v>
      </c>
      <c r="C2" s="437" t="s">
        <v>772</v>
      </c>
      <c r="D2" s="437" t="s">
        <v>773</v>
      </c>
      <c r="E2" s="437" t="s">
        <v>774</v>
      </c>
      <c r="F2" s="437" t="s">
        <v>788</v>
      </c>
      <c r="G2" s="437" t="s">
        <v>790</v>
      </c>
    </row>
    <row r="3" spans="1:7">
      <c r="A3" t="s">
        <v>769</v>
      </c>
      <c r="B3" t="s">
        <v>395</v>
      </c>
      <c r="C3" t="s">
        <v>775</v>
      </c>
      <c r="D3" t="s">
        <v>776</v>
      </c>
      <c r="E3" s="436">
        <v>41386</v>
      </c>
      <c r="F3" t="s">
        <v>784</v>
      </c>
      <c r="G3" t="s">
        <v>791</v>
      </c>
    </row>
    <row r="4" spans="1:7">
      <c r="A4" t="s">
        <v>769</v>
      </c>
      <c r="B4" t="s">
        <v>395</v>
      </c>
      <c r="C4" t="s">
        <v>781</v>
      </c>
      <c r="D4" t="s">
        <v>783</v>
      </c>
      <c r="E4" s="436">
        <v>41386</v>
      </c>
      <c r="F4" t="s">
        <v>784</v>
      </c>
      <c r="G4" t="s">
        <v>791</v>
      </c>
    </row>
    <row r="5" spans="1:7">
      <c r="A5" t="s">
        <v>769</v>
      </c>
      <c r="B5" t="s">
        <v>395</v>
      </c>
      <c r="C5" t="s">
        <v>782</v>
      </c>
      <c r="D5" t="s">
        <v>777</v>
      </c>
      <c r="E5" s="436">
        <v>41386</v>
      </c>
      <c r="F5" t="s">
        <v>784</v>
      </c>
      <c r="G5" t="s">
        <v>791</v>
      </c>
    </row>
    <row r="6" spans="1:7">
      <c r="A6" t="s">
        <v>769</v>
      </c>
      <c r="B6" t="s">
        <v>780</v>
      </c>
      <c r="C6" t="s">
        <v>778</v>
      </c>
      <c r="D6" t="s">
        <v>779</v>
      </c>
      <c r="E6" s="436">
        <v>41386</v>
      </c>
      <c r="F6" t="s">
        <v>784</v>
      </c>
      <c r="G6" t="s">
        <v>791</v>
      </c>
    </row>
    <row r="7" spans="1:7">
      <c r="A7" t="s">
        <v>791</v>
      </c>
      <c r="B7" t="s">
        <v>1026</v>
      </c>
      <c r="C7" t="s">
        <v>1027</v>
      </c>
      <c r="D7" t="s">
        <v>1028</v>
      </c>
      <c r="E7" s="436">
        <v>41387</v>
      </c>
      <c r="F7" t="s">
        <v>784</v>
      </c>
      <c r="G7" t="s">
        <v>791</v>
      </c>
    </row>
    <row r="8" spans="1:7">
      <c r="A8" t="s">
        <v>791</v>
      </c>
      <c r="B8" t="s">
        <v>780</v>
      </c>
      <c r="D8" t="s">
        <v>1029</v>
      </c>
      <c r="E8" s="436">
        <v>41387</v>
      </c>
      <c r="F8" t="s">
        <v>784</v>
      </c>
      <c r="G8" t="s">
        <v>791</v>
      </c>
    </row>
    <row r="9" spans="1:7" ht="63.75">
      <c r="A9" t="s">
        <v>1074</v>
      </c>
      <c r="B9" t="s">
        <v>395</v>
      </c>
      <c r="C9" t="s">
        <v>1075</v>
      </c>
      <c r="D9" s="444" t="s">
        <v>1076</v>
      </c>
      <c r="E9" s="436">
        <v>41478</v>
      </c>
      <c r="F9" t="s">
        <v>784</v>
      </c>
      <c r="G9" t="s">
        <v>1074</v>
      </c>
    </row>
    <row r="10" spans="1:7">
      <c r="A10" t="s">
        <v>1077</v>
      </c>
      <c r="B10" t="s">
        <v>395</v>
      </c>
      <c r="C10" t="s">
        <v>1078</v>
      </c>
      <c r="D10" t="s">
        <v>1079</v>
      </c>
      <c r="E10" s="436">
        <v>41512</v>
      </c>
      <c r="F10" t="s">
        <v>784</v>
      </c>
      <c r="G10" t="s">
        <v>1077</v>
      </c>
    </row>
    <row r="11" spans="1:7">
      <c r="A11" t="s">
        <v>1116</v>
      </c>
      <c r="B11" t="s">
        <v>395</v>
      </c>
      <c r="C11" t="s">
        <v>1117</v>
      </c>
      <c r="D11" t="s">
        <v>1118</v>
      </c>
      <c r="E11" s="436">
        <v>41535</v>
      </c>
      <c r="F11" t="s">
        <v>784</v>
      </c>
      <c r="G11" t="s">
        <v>1121</v>
      </c>
    </row>
    <row r="12" spans="1:7">
      <c r="A12" t="s">
        <v>1121</v>
      </c>
      <c r="B12" t="s">
        <v>167</v>
      </c>
      <c r="D12" t="s">
        <v>169</v>
      </c>
      <c r="E12" s="436">
        <v>41568</v>
      </c>
      <c r="F12" t="s">
        <v>784</v>
      </c>
      <c r="G12" s="482" t="s">
        <v>168</v>
      </c>
    </row>
    <row r="13" spans="1:7">
      <c r="A13" t="s">
        <v>1148</v>
      </c>
      <c r="B13" t="s">
        <v>1149</v>
      </c>
      <c r="C13" t="s">
        <v>1150</v>
      </c>
      <c r="E13" s="436">
        <v>41570</v>
      </c>
      <c r="F13" t="s">
        <v>784</v>
      </c>
      <c r="G13" s="482" t="s">
        <v>168</v>
      </c>
    </row>
    <row r="14" spans="1:7">
      <c r="A14" t="s">
        <v>86</v>
      </c>
      <c r="B14" t="s">
        <v>395</v>
      </c>
      <c r="C14" t="s">
        <v>101</v>
      </c>
      <c r="D14" t="s">
        <v>102</v>
      </c>
      <c r="E14" s="436">
        <v>41618</v>
      </c>
      <c r="F14" t="s">
        <v>784</v>
      </c>
      <c r="G14" s="517">
        <v>1.1000000000000001</v>
      </c>
    </row>
    <row r="15" spans="1:7">
      <c r="A15" t="s">
        <v>86</v>
      </c>
      <c r="B15" t="s">
        <v>395</v>
      </c>
      <c r="D15" t="s">
        <v>87</v>
      </c>
      <c r="E15" s="436">
        <v>41618</v>
      </c>
      <c r="F15" t="s">
        <v>784</v>
      </c>
      <c r="G15" s="517">
        <v>1.1000000000000001</v>
      </c>
    </row>
    <row r="16" spans="1:7">
      <c r="A16" t="s">
        <v>86</v>
      </c>
      <c r="B16" t="s">
        <v>395</v>
      </c>
      <c r="D16" t="s">
        <v>88</v>
      </c>
      <c r="E16" s="436">
        <v>41618</v>
      </c>
      <c r="F16" t="s">
        <v>784</v>
      </c>
      <c r="G16" s="517">
        <v>1.1000000000000001</v>
      </c>
    </row>
    <row r="17" spans="1:8">
      <c r="A17" t="s">
        <v>86</v>
      </c>
      <c r="B17" t="s">
        <v>395</v>
      </c>
      <c r="C17" t="s">
        <v>92</v>
      </c>
      <c r="D17" t="s">
        <v>96</v>
      </c>
      <c r="E17" s="436">
        <v>41618</v>
      </c>
      <c r="F17" t="s">
        <v>784</v>
      </c>
      <c r="G17" s="517">
        <v>1.1000000000000001</v>
      </c>
    </row>
    <row r="18" spans="1:8">
      <c r="A18" t="s">
        <v>85</v>
      </c>
      <c r="B18" t="s">
        <v>780</v>
      </c>
      <c r="C18" t="s">
        <v>89</v>
      </c>
      <c r="E18" s="436">
        <v>41619</v>
      </c>
      <c r="F18" t="s">
        <v>784</v>
      </c>
      <c r="G18" s="517">
        <v>1.1000000000000001</v>
      </c>
    </row>
    <row r="19" spans="1:8">
      <c r="A19" t="s">
        <v>90</v>
      </c>
      <c r="B19" t="s">
        <v>395</v>
      </c>
      <c r="C19" t="s">
        <v>91</v>
      </c>
      <c r="E19" s="436">
        <v>41621</v>
      </c>
      <c r="F19" t="s">
        <v>784</v>
      </c>
      <c r="G19" s="517">
        <v>1.1000000000000001</v>
      </c>
    </row>
    <row r="20" spans="1:8">
      <c r="A20" t="s">
        <v>97</v>
      </c>
      <c r="B20" t="s">
        <v>103</v>
      </c>
      <c r="D20" t="s">
        <v>104</v>
      </c>
      <c r="E20" s="436">
        <v>41621</v>
      </c>
      <c r="F20" t="s">
        <v>784</v>
      </c>
      <c r="G20" s="517">
        <v>1.1000000000000001</v>
      </c>
    </row>
    <row r="21" spans="1:8">
      <c r="A21" t="s">
        <v>97</v>
      </c>
      <c r="B21" t="s">
        <v>395</v>
      </c>
      <c r="C21" t="s">
        <v>107</v>
      </c>
      <c r="E21" s="436">
        <v>41621</v>
      </c>
      <c r="F21" t="s">
        <v>784</v>
      </c>
      <c r="G21" s="517">
        <v>1.1000000000000001</v>
      </c>
    </row>
    <row r="22" spans="1:8">
      <c r="A22" t="s">
        <v>1167</v>
      </c>
      <c r="B22" t="s">
        <v>395</v>
      </c>
      <c r="D22" t="s">
        <v>1029</v>
      </c>
      <c r="E22" s="436">
        <v>41621</v>
      </c>
      <c r="F22" t="s">
        <v>784</v>
      </c>
      <c r="G22" s="517">
        <v>1.1000000000000001</v>
      </c>
    </row>
    <row r="23" spans="1:8">
      <c r="A23" t="s">
        <v>1167</v>
      </c>
      <c r="B23" t="s">
        <v>395</v>
      </c>
      <c r="C23" t="s">
        <v>1019</v>
      </c>
      <c r="D23" t="s">
        <v>1020</v>
      </c>
      <c r="E23" s="436">
        <v>41621</v>
      </c>
      <c r="F23" t="s">
        <v>784</v>
      </c>
      <c r="G23" s="517">
        <v>1.1000000000000001</v>
      </c>
    </row>
    <row r="24" spans="1:8">
      <c r="A24" t="s">
        <v>1167</v>
      </c>
      <c r="B24" t="s">
        <v>395</v>
      </c>
      <c r="C24" t="s">
        <v>1021</v>
      </c>
      <c r="E24" s="436">
        <v>41621</v>
      </c>
      <c r="F24" t="s">
        <v>784</v>
      </c>
      <c r="G24" s="517">
        <v>1.1000000000000001</v>
      </c>
    </row>
    <row r="25" spans="1:8">
      <c r="A25" t="s">
        <v>866</v>
      </c>
      <c r="B25" t="s">
        <v>395</v>
      </c>
      <c r="C25" t="s">
        <v>867</v>
      </c>
      <c r="D25" t="s">
        <v>868</v>
      </c>
      <c r="E25" s="436">
        <v>41627</v>
      </c>
      <c r="F25" t="s">
        <v>784</v>
      </c>
      <c r="G25" s="517">
        <v>1.1000000000000001</v>
      </c>
    </row>
    <row r="26" spans="1:8">
      <c r="A26" t="s">
        <v>710</v>
      </c>
      <c r="B26" t="s">
        <v>395</v>
      </c>
      <c r="C26" t="s">
        <v>714</v>
      </c>
      <c r="E26" s="436">
        <v>41656</v>
      </c>
      <c r="F26" t="s">
        <v>784</v>
      </c>
      <c r="G26" s="517">
        <v>1.1000000000000001</v>
      </c>
      <c r="H26" t="s">
        <v>318</v>
      </c>
    </row>
    <row r="27" spans="1:8">
      <c r="A27" t="s">
        <v>315</v>
      </c>
      <c r="B27" t="s">
        <v>395</v>
      </c>
      <c r="C27" t="s">
        <v>316</v>
      </c>
      <c r="F27" t="s">
        <v>784</v>
      </c>
      <c r="G27" t="s">
        <v>321</v>
      </c>
    </row>
    <row r="28" spans="1:8" ht="76.5">
      <c r="A28" t="s">
        <v>317</v>
      </c>
      <c r="B28" t="s">
        <v>395</v>
      </c>
      <c r="C28" t="s">
        <v>319</v>
      </c>
      <c r="D28" s="444" t="s">
        <v>320</v>
      </c>
      <c r="E28" s="436">
        <v>41723</v>
      </c>
      <c r="F28" t="s">
        <v>784</v>
      </c>
      <c r="G28" s="517">
        <v>1.2</v>
      </c>
    </row>
    <row r="29" spans="1:8" ht="89.25">
      <c r="A29" t="s">
        <v>1202</v>
      </c>
      <c r="B29" t="s">
        <v>395</v>
      </c>
      <c r="D29" s="444" t="s">
        <v>725</v>
      </c>
      <c r="E29" s="436">
        <v>41723</v>
      </c>
      <c r="F29" t="s">
        <v>784</v>
      </c>
      <c r="G29" s="517">
        <v>1.2</v>
      </c>
    </row>
    <row r="30" spans="1:8">
      <c r="B30" t="s">
        <v>1220</v>
      </c>
      <c r="C30" t="s">
        <v>1221</v>
      </c>
      <c r="E30" s="436">
        <v>41723</v>
      </c>
      <c r="F30" t="s">
        <v>784</v>
      </c>
      <c r="G30" s="517">
        <v>1.2</v>
      </c>
    </row>
    <row r="31" spans="1:8">
      <c r="A31" t="s">
        <v>1206</v>
      </c>
      <c r="B31" t="s">
        <v>1220</v>
      </c>
      <c r="C31" t="s">
        <v>1207</v>
      </c>
      <c r="E31" s="436">
        <v>41731</v>
      </c>
      <c r="F31" t="s">
        <v>784</v>
      </c>
      <c r="G31" s="517">
        <v>1.2</v>
      </c>
    </row>
    <row r="32" spans="1:8">
      <c r="B32" t="s">
        <v>395</v>
      </c>
      <c r="C32" s="517" t="s">
        <v>1208</v>
      </c>
      <c r="D32" t="s">
        <v>1209</v>
      </c>
      <c r="E32" s="436">
        <v>41731</v>
      </c>
      <c r="F32" t="s">
        <v>784</v>
      </c>
      <c r="G32" s="517">
        <v>1.2</v>
      </c>
    </row>
    <row r="33" spans="1:7">
      <c r="A33" t="s">
        <v>1210</v>
      </c>
      <c r="B33" t="s">
        <v>1220</v>
      </c>
      <c r="C33" t="s">
        <v>1211</v>
      </c>
      <c r="E33" s="436">
        <v>41731</v>
      </c>
      <c r="F33" t="s">
        <v>784</v>
      </c>
      <c r="G33" s="517">
        <v>1.2</v>
      </c>
    </row>
    <row r="34" spans="1:7">
      <c r="B34" t="s">
        <v>395</v>
      </c>
      <c r="C34" t="s">
        <v>1212</v>
      </c>
      <c r="E34" s="436">
        <v>41731</v>
      </c>
      <c r="F34" t="s">
        <v>784</v>
      </c>
      <c r="G34" s="517">
        <v>1.2</v>
      </c>
    </row>
    <row r="35" spans="1:7">
      <c r="A35" t="s">
        <v>942</v>
      </c>
      <c r="C35" t="s">
        <v>89</v>
      </c>
      <c r="E35" s="436">
        <v>41733</v>
      </c>
      <c r="F35" t="s">
        <v>784</v>
      </c>
      <c r="G35" s="517">
        <v>1.2</v>
      </c>
    </row>
    <row r="36" spans="1:7">
      <c r="A36" t="s">
        <v>346</v>
      </c>
      <c r="B36" t="s">
        <v>395</v>
      </c>
      <c r="C36" t="s">
        <v>347</v>
      </c>
      <c r="E36" s="436">
        <v>41946</v>
      </c>
      <c r="F36" t="s">
        <v>784</v>
      </c>
      <c r="G36" s="517">
        <v>1.3</v>
      </c>
    </row>
    <row r="37" spans="1:7">
      <c r="A37" t="s">
        <v>1094</v>
      </c>
      <c r="B37" t="s">
        <v>395</v>
      </c>
      <c r="C37" t="s">
        <v>1096</v>
      </c>
      <c r="E37" s="436">
        <v>42011</v>
      </c>
      <c r="F37" t="s">
        <v>784</v>
      </c>
      <c r="G37" s="517">
        <v>1.3</v>
      </c>
    </row>
    <row r="38" spans="1:7">
      <c r="A38" t="s">
        <v>1094</v>
      </c>
      <c r="B38" t="s">
        <v>1220</v>
      </c>
      <c r="C38" t="s">
        <v>1095</v>
      </c>
      <c r="E38" s="436">
        <v>42011</v>
      </c>
      <c r="F38" t="s">
        <v>784</v>
      </c>
      <c r="G38" s="517">
        <v>1.3</v>
      </c>
    </row>
    <row r="39" spans="1:7">
      <c r="A39" t="s">
        <v>785</v>
      </c>
      <c r="B39" t="s">
        <v>395</v>
      </c>
      <c r="C39" t="s">
        <v>786</v>
      </c>
      <c r="D39" t="s">
        <v>787</v>
      </c>
      <c r="E39" s="436">
        <v>42066</v>
      </c>
      <c r="F39" t="s">
        <v>784</v>
      </c>
      <c r="G39" s="517">
        <v>1.3</v>
      </c>
    </row>
    <row r="40" spans="1:7">
      <c r="A40" t="s">
        <v>968</v>
      </c>
      <c r="B40" t="s">
        <v>395</v>
      </c>
      <c r="C40" t="s">
        <v>969</v>
      </c>
      <c r="E40" s="436">
        <v>42096</v>
      </c>
      <c r="F40" t="s">
        <v>784</v>
      </c>
      <c r="G40" s="517">
        <v>1.3</v>
      </c>
    </row>
    <row r="41" spans="1:7">
      <c r="A41" t="s">
        <v>970</v>
      </c>
      <c r="B41" t="s">
        <v>395</v>
      </c>
      <c r="C41" t="s">
        <v>971</v>
      </c>
      <c r="E41" s="436">
        <v>42102</v>
      </c>
      <c r="F41" t="s">
        <v>784</v>
      </c>
      <c r="G41" s="517">
        <v>1.4</v>
      </c>
    </row>
    <row r="42" spans="1:7">
      <c r="A42" t="s">
        <v>876</v>
      </c>
      <c r="B42" t="s">
        <v>395</v>
      </c>
      <c r="C42" t="s">
        <v>875</v>
      </c>
      <c r="E42" s="436">
        <v>42103</v>
      </c>
      <c r="F42" t="s">
        <v>784</v>
      </c>
      <c r="G42" s="517">
        <v>1.4</v>
      </c>
    </row>
    <row r="43" spans="1:7">
      <c r="A43" t="s">
        <v>877</v>
      </c>
      <c r="B43" t="s">
        <v>878</v>
      </c>
      <c r="E43" s="436">
        <v>42109</v>
      </c>
      <c r="F43" t="s">
        <v>880</v>
      </c>
      <c r="G43" s="517">
        <v>1.4</v>
      </c>
    </row>
    <row r="44" spans="1:7">
      <c r="A44" t="s">
        <v>874</v>
      </c>
      <c r="B44" t="s">
        <v>878</v>
      </c>
      <c r="C44" t="s">
        <v>879</v>
      </c>
      <c r="E44" s="436">
        <v>42116</v>
      </c>
      <c r="F44" t="s">
        <v>880</v>
      </c>
      <c r="G44" s="517">
        <v>1.4</v>
      </c>
    </row>
    <row r="45" spans="1:7">
      <c r="A45" t="s">
        <v>881</v>
      </c>
      <c r="B45" t="s">
        <v>395</v>
      </c>
      <c r="C45" t="s">
        <v>882</v>
      </c>
      <c r="E45" s="436">
        <v>42121</v>
      </c>
      <c r="F45" t="s">
        <v>784</v>
      </c>
      <c r="G45" s="517">
        <v>1.4</v>
      </c>
    </row>
    <row r="46" spans="1:7">
      <c r="A46" t="s">
        <v>892</v>
      </c>
      <c r="B46" t="s">
        <v>395</v>
      </c>
      <c r="C46" t="s">
        <v>893</v>
      </c>
      <c r="E46" s="436">
        <v>42186</v>
      </c>
      <c r="F46" t="s">
        <v>784</v>
      </c>
      <c r="G46" s="517">
        <v>1.4</v>
      </c>
    </row>
    <row r="47" spans="1:7">
      <c r="A47" t="s">
        <v>894</v>
      </c>
      <c r="B47" t="s">
        <v>395</v>
      </c>
      <c r="C47" t="s">
        <v>895</v>
      </c>
      <c r="E47" s="436">
        <v>42186</v>
      </c>
      <c r="F47" t="s">
        <v>784</v>
      </c>
      <c r="G47" s="517">
        <v>1.4</v>
      </c>
    </row>
    <row r="48" spans="1:7">
      <c r="A48" t="s">
        <v>128</v>
      </c>
      <c r="B48" t="s">
        <v>395</v>
      </c>
      <c r="C48" t="s">
        <v>129</v>
      </c>
      <c r="E48" s="436">
        <v>42186</v>
      </c>
      <c r="F48" t="s">
        <v>784</v>
      </c>
      <c r="G48" s="517">
        <v>1.4</v>
      </c>
    </row>
    <row r="49" spans="1:7">
      <c r="A49" t="s">
        <v>841</v>
      </c>
      <c r="B49" t="s">
        <v>395</v>
      </c>
      <c r="C49" t="s">
        <v>842</v>
      </c>
      <c r="E49" s="436">
        <v>42201</v>
      </c>
      <c r="F49" t="s">
        <v>784</v>
      </c>
      <c r="G49" s="517">
        <v>1.4</v>
      </c>
    </row>
    <row r="50" spans="1:7">
      <c r="A50" t="s">
        <v>44</v>
      </c>
      <c r="B50" t="s">
        <v>395</v>
      </c>
      <c r="C50" t="s">
        <v>45</v>
      </c>
      <c r="E50" s="436">
        <v>42206</v>
      </c>
      <c r="F50" t="s">
        <v>784</v>
      </c>
      <c r="G50" s="517">
        <v>1.4</v>
      </c>
    </row>
    <row r="51" spans="1:7">
      <c r="A51" t="s">
        <v>1064</v>
      </c>
      <c r="B51" t="s">
        <v>395</v>
      </c>
      <c r="C51" t="s">
        <v>89</v>
      </c>
      <c r="E51" s="436">
        <v>42211</v>
      </c>
      <c r="F51" t="s">
        <v>784</v>
      </c>
      <c r="G51" s="517">
        <v>1.4</v>
      </c>
    </row>
    <row r="52" spans="1:7">
      <c r="A52" t="s">
        <v>739</v>
      </c>
      <c r="B52" t="s">
        <v>395</v>
      </c>
      <c r="C52" t="s">
        <v>740</v>
      </c>
      <c r="E52" s="436">
        <v>42443</v>
      </c>
      <c r="F52" t="s">
        <v>784</v>
      </c>
      <c r="G52" t="s">
        <v>741</v>
      </c>
    </row>
    <row r="53" spans="1:7">
      <c r="A53" t="s">
        <v>263</v>
      </c>
      <c r="B53" t="s">
        <v>395</v>
      </c>
      <c r="C53" t="s">
        <v>268</v>
      </c>
      <c r="E53" s="436">
        <v>42923</v>
      </c>
      <c r="F53" t="s">
        <v>784</v>
      </c>
      <c r="G53" s="517">
        <v>1.5</v>
      </c>
    </row>
    <row r="54" spans="1:7">
      <c r="A54" t="s">
        <v>264</v>
      </c>
      <c r="B54" t="s">
        <v>395</v>
      </c>
      <c r="C54" t="s">
        <v>268</v>
      </c>
      <c r="E54" s="436">
        <v>42923</v>
      </c>
      <c r="F54" t="s">
        <v>784</v>
      </c>
      <c r="G54" s="517">
        <v>1.5</v>
      </c>
    </row>
    <row r="55" spans="1:7">
      <c r="A55" t="s">
        <v>265</v>
      </c>
      <c r="B55" t="s">
        <v>395</v>
      </c>
      <c r="C55" t="s">
        <v>1270</v>
      </c>
      <c r="E55" s="436">
        <v>42926</v>
      </c>
      <c r="F55" t="s">
        <v>784</v>
      </c>
      <c r="G55" s="517">
        <v>1.5</v>
      </c>
    </row>
    <row r="56" spans="1:7">
      <c r="A56" t="s">
        <v>266</v>
      </c>
      <c r="B56" t="s">
        <v>395</v>
      </c>
      <c r="C56" t="s">
        <v>1269</v>
      </c>
      <c r="E56" s="436">
        <v>42926</v>
      </c>
      <c r="F56" t="s">
        <v>784</v>
      </c>
      <c r="G56" s="517">
        <v>1.5</v>
      </c>
    </row>
    <row r="57" spans="1:7">
      <c r="A57" t="s">
        <v>267</v>
      </c>
      <c r="B57" t="s">
        <v>395</v>
      </c>
    </row>
    <row r="58" spans="1:7">
      <c r="A58" t="s">
        <v>1296</v>
      </c>
      <c r="B58" t="s">
        <v>395</v>
      </c>
      <c r="C58" t="s">
        <v>1297</v>
      </c>
      <c r="E58" s="436">
        <v>43035</v>
      </c>
      <c r="F58" t="s">
        <v>1298</v>
      </c>
      <c r="G58" s="517">
        <v>1.5</v>
      </c>
    </row>
    <row r="59" spans="1:7">
      <c r="A59" t="s">
        <v>1303</v>
      </c>
      <c r="B59" t="s">
        <v>395</v>
      </c>
      <c r="C59" s="679" t="s">
        <v>1304</v>
      </c>
      <c r="E59" s="436">
        <v>43112</v>
      </c>
      <c r="F59" t="s">
        <v>1298</v>
      </c>
      <c r="G59" s="517">
        <v>1.5</v>
      </c>
    </row>
  </sheetData>
  <sheetProtection password="98F7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13</vt:i4>
      </vt:variant>
    </vt:vector>
  </HeadingPairs>
  <TitlesOfParts>
    <vt:vector size="19" baseType="lpstr">
      <vt:lpstr>README</vt:lpstr>
      <vt:lpstr>Bilanz-bilan</vt:lpstr>
      <vt:lpstr>Daten</vt:lpstr>
      <vt:lpstr>budget_partiel</vt:lpstr>
      <vt:lpstr>Texte</vt:lpstr>
      <vt:lpstr>Korr</vt:lpstr>
      <vt:lpstr>'Bilanz-bilan'!Area_stampa</vt:lpstr>
      <vt:lpstr>budget_partiel!Area_stampa</vt:lpstr>
      <vt:lpstr>README!Area_stampa</vt:lpstr>
      <vt:lpstr>'Bilanz-bilan'!AusblendSpalten</vt:lpstr>
      <vt:lpstr>README!AusblendSpalten</vt:lpstr>
      <vt:lpstr>'Bilanz-bilan'!AusblendZeilen</vt:lpstr>
      <vt:lpstr>'Bilanz-bilan'!MuKuCoverTopLeft</vt:lpstr>
      <vt:lpstr>Texte!SprachIdx</vt:lpstr>
      <vt:lpstr>'Bilanz-bilan'!Startzelle</vt:lpstr>
      <vt:lpstr>budget_partiel!Startzelle</vt:lpstr>
      <vt:lpstr>Korr!StartZelle</vt:lpstr>
      <vt:lpstr>README!Startzelle</vt:lpstr>
      <vt:lpstr>Texte!Startzelle</vt:lpstr>
    </vt:vector>
  </TitlesOfParts>
  <Company>AGRIDEA-BLW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 1.5</dc:title>
  <dc:creator>AGRIDEA</dc:creator>
  <cp:lastModifiedBy>Chianese Giulia / fxse008</cp:lastModifiedBy>
  <cp:lastPrinted>2015-07-01T11:48:20Z</cp:lastPrinted>
  <dcterms:created xsi:type="dcterms:W3CDTF">2012-10-26T08:14:52Z</dcterms:created>
  <dcterms:modified xsi:type="dcterms:W3CDTF">2018-05-03T15:07:42Z</dcterms:modified>
</cp:coreProperties>
</file>