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1840" windowHeight="13176" tabRatio="500" activeTab="0"/>
  </bookViews>
  <sheets>
    <sheet name="Panoramica 2011-2015" sheetId="1" r:id="rId1"/>
  </sheets>
  <definedNames>
    <definedName name="_xlnm.Print_Area" localSheetId="0">'Panoramica 2011-2015'!$A$1:$N$87</definedName>
  </definedNames>
  <calcPr calcId="145621"/>
  <extLst/>
</workbook>
</file>

<file path=xl/sharedStrings.xml><?xml version="1.0" encoding="utf-8"?>
<sst xmlns="http://schemas.openxmlformats.org/spreadsheetml/2006/main" count="117" uniqueCount="114">
  <si>
    <t>Rustici fuori zona</t>
  </si>
  <si>
    <t>Mantenimento e recupero paesaggi terrazzati</t>
  </si>
  <si>
    <t>La biodiversità del Parco</t>
  </si>
  <si>
    <t>La gastronomia locale tra passato e futuro</t>
  </si>
  <si>
    <t>La caraffa del Parco</t>
  </si>
  <si>
    <t>Sentieri del Parco</t>
  </si>
  <si>
    <t>Albergo diffuso tra Rustici e alloggi in rete</t>
  </si>
  <si>
    <t>Campeggi alpini</t>
  </si>
  <si>
    <t>Piano di gestione della mobilità del Parco</t>
  </si>
  <si>
    <t>Commissioni permanenti e gruppi di lavoro</t>
  </si>
  <si>
    <t>Formazione guide e operatori di ed. ambientale</t>
  </si>
  <si>
    <t>Scuole e Parco</t>
  </si>
  <si>
    <t>Il Parco è per tutti: accessibilità a 360°</t>
  </si>
  <si>
    <t>Ricerca sui temi della protezione della natura VO</t>
  </si>
  <si>
    <t>Mappatura del Parco</t>
  </si>
  <si>
    <t>OBIETTIVO 1:</t>
  </si>
  <si>
    <t>OBIETTIVO 2:</t>
  </si>
  <si>
    <t>OBIETTIVO 3:</t>
  </si>
  <si>
    <t>OBIETTIVO 4:</t>
  </si>
  <si>
    <t xml:space="preserve">OBIETTTIVO 5: </t>
  </si>
  <si>
    <t xml:space="preserve">Totale spese correnti </t>
  </si>
  <si>
    <t xml:space="preserve">Totale ricavi correnti </t>
  </si>
  <si>
    <t>Totale</t>
  </si>
  <si>
    <t xml:space="preserve">Totale </t>
  </si>
  <si>
    <t xml:space="preserve">SPESE CORRENTI </t>
  </si>
  <si>
    <t xml:space="preserve">RICAVI CORRENTI </t>
  </si>
  <si>
    <t>Gestione progetto</t>
  </si>
  <si>
    <t>Sistema informativo geografico GIS</t>
  </si>
  <si>
    <t>Comunicazione</t>
  </si>
  <si>
    <t>Punti e centri informativi - centro visitatori</t>
  </si>
  <si>
    <t>Collaborazioni altri parchi e rete dei parchi</t>
  </si>
  <si>
    <t>Aggiornamento strumenti pianificatori</t>
  </si>
  <si>
    <t>Valutazione prestazioni ZC e aree naturalità</t>
  </si>
  <si>
    <t>Zone Centrali: ricerca, usi e attività</t>
  </si>
  <si>
    <t xml:space="preserve">Agenzia del Parco </t>
  </si>
  <si>
    <t>Ricerca Fondi</t>
  </si>
  <si>
    <t>Elaborazione masterplan sub regionale</t>
  </si>
  <si>
    <t>Sviluppo regionale Comologno, Salei, Vergeletto</t>
  </si>
  <si>
    <t>Gestione del costruito</t>
  </si>
  <si>
    <t>Pianificazione del pascolo in zone sensibili</t>
  </si>
  <si>
    <t>Piano dei posteggi del Parco</t>
  </si>
  <si>
    <t>Giornate e manifestazioni sulla biodiversità</t>
  </si>
  <si>
    <t>Materiale didattico e informativo</t>
  </si>
  <si>
    <t>Preventivo2011-15</t>
  </si>
  <si>
    <t>Coordinare e sostenere pr. Val paesaggi</t>
  </si>
  <si>
    <t>Concetto di gestione della selvaggina</t>
  </si>
  <si>
    <t>Piano di gestione degli alpeggi</t>
  </si>
  <si>
    <t>Percorsi, infrastrutture e costruzione nelle ZC</t>
  </si>
  <si>
    <t>Indagine sull'utenza</t>
  </si>
  <si>
    <t>Piazza Palagnedra</t>
  </si>
  <si>
    <t xml:space="preserve">Analisi sulle potenzialità socio-economiche </t>
  </si>
  <si>
    <t>Le feste nel Parco</t>
  </si>
  <si>
    <t>La ricerca nel Parco Nazionale</t>
  </si>
  <si>
    <t>Monitoraggio delle attività nelle ZC</t>
  </si>
  <si>
    <t>Valutazione paesaggio ai sensi manuale UFAM</t>
  </si>
  <si>
    <t xml:space="preserve">Contratti agricoli per aree di inventario federale </t>
  </si>
  <si>
    <t>Piano gestione cave (sostegno)</t>
  </si>
  <si>
    <t xml:space="preserve">Studi di fattibilità per nuove strutture alberghiere </t>
  </si>
  <si>
    <t xml:space="preserve">Concetto energetico con il Parco </t>
  </si>
  <si>
    <t xml:space="preserve">La Carta del Parco </t>
  </si>
  <si>
    <t>Preventivo 2011-15</t>
  </si>
  <si>
    <t>Totale schede di progetto:</t>
  </si>
  <si>
    <t>Organizzazione attività supplementari</t>
  </si>
  <si>
    <t>Totale entrate schede di progetto:</t>
  </si>
  <si>
    <t>70 REDDITI DELLA SOSTANZA</t>
  </si>
  <si>
    <t>700 Interessi attivi da banche</t>
  </si>
  <si>
    <t xml:space="preserve">71 RICAVI DIVERSI </t>
  </si>
  <si>
    <t>710 Rimborsi vari</t>
  </si>
  <si>
    <t>711 Ricavi prestazioni diverse</t>
  </si>
  <si>
    <t>712 Ricavi vendita prodotti</t>
  </si>
  <si>
    <t>750 Confederazione</t>
  </si>
  <si>
    <t>751 Cantone</t>
  </si>
  <si>
    <t>752 ERS-LVM</t>
  </si>
  <si>
    <t>753 Comuni</t>
  </si>
  <si>
    <t xml:space="preserve">77 FONDI PROPRI  </t>
  </si>
  <si>
    <t>754 Mava 1</t>
  </si>
  <si>
    <t>754 Mava 2</t>
  </si>
  <si>
    <t xml:space="preserve">754 Pro Natura </t>
  </si>
  <si>
    <t xml:space="preserve">754 Bristol </t>
  </si>
  <si>
    <t xml:space="preserve">754 Turismo </t>
  </si>
  <si>
    <t xml:space="preserve">770 Prelievo da fondi propri </t>
  </si>
  <si>
    <t>752 ERS-LVM residui della fase 2 bis</t>
  </si>
  <si>
    <t xml:space="preserve">75 CONTRIBUTI DA ENTI PUBBLICI </t>
  </si>
  <si>
    <t xml:space="preserve">754 CONTRIBUTI DA FONDAZIONI </t>
  </si>
  <si>
    <t>756 OCST - sostegno salari</t>
  </si>
  <si>
    <t xml:space="preserve">Partecipazione Interreg "Alpstone" - scheda 3.23 </t>
  </si>
  <si>
    <t>752 ERS-LVM rimborso imposta preventiva</t>
  </si>
  <si>
    <t>Partecipazione Interreg " Tütipost" - scheda 3.41/42</t>
  </si>
  <si>
    <t>Costi 2014</t>
  </si>
  <si>
    <t>Tot. costi 2011/12/13/14</t>
  </si>
  <si>
    <t>Entrate 2011/12/13/14</t>
  </si>
  <si>
    <t>Ricavi 2014</t>
  </si>
  <si>
    <t>713 Organizzazione attività supplementari</t>
  </si>
  <si>
    <t xml:space="preserve">Versamento a capitale proprio </t>
  </si>
  <si>
    <t>Preventivo 2015</t>
  </si>
  <si>
    <t>Il preventivo 2011-2015 è adeguato, quindi ridimensionato alle risorse disponibili e aggiornato l'ultima volta  durante il Consiglio del Parco del 17 luglio 2014</t>
  </si>
  <si>
    <t>2012-2015</t>
  </si>
  <si>
    <t>Confederazione</t>
  </si>
  <si>
    <t>Cantone</t>
  </si>
  <si>
    <t>ERS e Comuni</t>
  </si>
  <si>
    <t>Prestazioni proprie</t>
  </si>
  <si>
    <t>Come da messaggio</t>
  </si>
  <si>
    <t>Situazione attuale</t>
  </si>
  <si>
    <t>scoperto</t>
  </si>
  <si>
    <t>Finanziamento</t>
  </si>
  <si>
    <t>Preventivo 2011-2015</t>
  </si>
  <si>
    <t>Fondazioni e sponsor</t>
  </si>
  <si>
    <t>totale</t>
  </si>
  <si>
    <t>Altri aiuti, integration Handicap, interreg…</t>
  </si>
  <si>
    <r>
      <t xml:space="preserve">Aggiornamento con 2011-12-13-14 a
 consuntivo </t>
    </r>
    <r>
      <rPr>
        <b/>
        <sz val="12"/>
        <color rgb="FFFF0000"/>
        <rFont val="Helvetica"/>
        <family val="2"/>
      </rPr>
      <t>e 2015 a preventivo</t>
    </r>
  </si>
  <si>
    <t>Progetto Parco Nazionale del Locarnese: panoramica finanziamento 2011-2015 sulla base del riassunto economico 2014 e preventivo 2015</t>
  </si>
  <si>
    <t>approvati, ultimo documento ufficiale disponibile al 25 gennaio 2016</t>
  </si>
  <si>
    <t>Il valore delle prestazioni proprie non remunerate non sono incluse  e ammonta a circa fr. 640'000</t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</si>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</sst>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.00"/>
  </numFmts>
  <fonts count="3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Helvetica"/>
      <family val="2"/>
    </font>
    <font>
      <sz val="14"/>
      <color theme="1"/>
      <name val="Helvetica"/>
      <family val="2"/>
    </font>
    <font>
      <sz val="14"/>
      <name val="Helvetica"/>
      <family val="2"/>
    </font>
    <font>
      <sz val="14"/>
      <color rgb="FF000000"/>
      <name val="Helvetica"/>
      <family val="2"/>
    </font>
    <font>
      <b/>
      <sz val="14"/>
      <color rgb="FF000000"/>
      <name val="Helvetica"/>
      <family val="2"/>
    </font>
    <font>
      <b/>
      <sz val="14"/>
      <name val="Helvetica"/>
      <family val="2"/>
    </font>
    <font>
      <b/>
      <sz val="14"/>
      <color indexed="10"/>
      <name val="Helvetica"/>
      <family val="2"/>
    </font>
    <font>
      <b/>
      <sz val="15"/>
      <color theme="1"/>
      <name val="Helvetica"/>
      <family val="2"/>
    </font>
    <font>
      <sz val="15"/>
      <name val="Helvetica"/>
      <family val="2"/>
    </font>
    <font>
      <b/>
      <sz val="15"/>
      <name val="Helvetica"/>
      <family val="2"/>
    </font>
    <font>
      <sz val="15"/>
      <color theme="1"/>
      <name val="Helvetica"/>
      <family val="2"/>
    </font>
    <font>
      <sz val="15"/>
      <color rgb="FF000000"/>
      <name val="Helvetica"/>
      <family val="2"/>
    </font>
    <font>
      <b/>
      <sz val="15"/>
      <color rgb="FF000000"/>
      <name val="Helvetica"/>
      <family val="2"/>
    </font>
    <font>
      <sz val="18"/>
      <color theme="1"/>
      <name val="Helvetica"/>
      <family val="2"/>
    </font>
    <font>
      <sz val="22"/>
      <color theme="1"/>
      <name val="Calibri"/>
      <family val="2"/>
      <scheme val="minor"/>
    </font>
    <font>
      <b/>
      <sz val="23"/>
      <color theme="1"/>
      <name val="Helvetica"/>
      <family val="2"/>
    </font>
    <font>
      <sz val="23"/>
      <color theme="1"/>
      <name val="Helvetica"/>
      <family val="2"/>
    </font>
    <font>
      <sz val="16"/>
      <color theme="1"/>
      <name val="Helvetica"/>
      <family val="2"/>
    </font>
    <font>
      <b/>
      <sz val="45"/>
      <color theme="1"/>
      <name val="Helvetica"/>
      <family val="2"/>
    </font>
    <font>
      <b/>
      <sz val="25"/>
      <color rgb="FF008000"/>
      <name val="Helvetica"/>
      <family val="2"/>
    </font>
    <font>
      <b/>
      <sz val="12"/>
      <color theme="1"/>
      <name val="Helvetica"/>
      <family val="2"/>
    </font>
    <font>
      <i/>
      <sz val="12"/>
      <color theme="1"/>
      <name val="Calibri"/>
      <family val="2"/>
      <scheme val="minor"/>
    </font>
    <font>
      <b/>
      <sz val="12"/>
      <color rgb="FFFF0000"/>
      <name val="Helvetica"/>
      <family val="2"/>
    </font>
    <font>
      <b/>
      <sz val="24"/>
      <name val="Arial"/>
      <family val="2"/>
    </font>
    <font>
      <b/>
      <sz val="24"/>
      <color theme="1"/>
      <name val="Arial"/>
      <family val="2"/>
    </font>
    <font>
      <b/>
      <sz val="30"/>
      <name val="Arial"/>
      <family val="2"/>
    </font>
    <font>
      <b/>
      <sz val="3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4" fontId="2" fillId="0" borderId="2" xfId="0" applyNumberFormat="1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/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/>
    <xf numFmtId="4" fontId="2" fillId="0" borderId="0" xfId="0" applyNumberFormat="1" applyFont="1" applyBorder="1"/>
    <xf numFmtId="4" fontId="10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0" fillId="0" borderId="0" xfId="0" applyFont="1" applyBorder="1"/>
    <xf numFmtId="4" fontId="2" fillId="0" borderId="3" xfId="0" applyNumberFormat="1" applyFont="1" applyBorder="1"/>
    <xf numFmtId="4" fontId="0" fillId="0" borderId="0" xfId="0" applyNumberFormat="1"/>
    <xf numFmtId="4" fontId="7" fillId="0" borderId="0" xfId="0" applyNumberFormat="1" applyFont="1"/>
    <xf numFmtId="0" fontId="6" fillId="2" borderId="4" xfId="0" applyFont="1" applyFill="1" applyBorder="1"/>
    <xf numFmtId="4" fontId="16" fillId="2" borderId="3" xfId="0" applyNumberFormat="1" applyFont="1" applyFill="1" applyBorder="1"/>
    <xf numFmtId="4" fontId="17" fillId="2" borderId="3" xfId="0" applyNumberFormat="1" applyFont="1" applyFill="1" applyBorder="1"/>
    <xf numFmtId="4" fontId="18" fillId="2" borderId="5" xfId="0" applyNumberFormat="1" applyFont="1" applyFill="1" applyBorder="1"/>
    <xf numFmtId="4" fontId="18" fillId="2" borderId="3" xfId="0" applyNumberFormat="1" applyFont="1" applyFill="1" applyBorder="1"/>
    <xf numFmtId="4" fontId="13" fillId="2" borderId="6" xfId="0" applyNumberFormat="1" applyFont="1" applyFill="1" applyBorder="1"/>
    <xf numFmtId="0" fontId="19" fillId="0" borderId="0" xfId="0" applyFont="1"/>
    <xf numFmtId="0" fontId="16" fillId="0" borderId="1" xfId="0" applyFont="1" applyBorder="1"/>
    <xf numFmtId="0" fontId="16" fillId="0" borderId="0" xfId="0" applyFont="1" applyBorder="1"/>
    <xf numFmtId="4" fontId="16" fillId="0" borderId="2" xfId="0" applyNumberFormat="1" applyFont="1" applyBorder="1"/>
    <xf numFmtId="0" fontId="17" fillId="0" borderId="1" xfId="0" applyFont="1" applyBorder="1"/>
    <xf numFmtId="4" fontId="17" fillId="0" borderId="2" xfId="0" applyNumberFormat="1" applyFont="1" applyBorder="1"/>
    <xf numFmtId="0" fontId="16" fillId="0" borderId="7" xfId="0" applyFont="1" applyBorder="1"/>
    <xf numFmtId="4" fontId="13" fillId="0" borderId="8" xfId="0" applyNumberFormat="1" applyFont="1" applyBorder="1"/>
    <xf numFmtId="0" fontId="18" fillId="0" borderId="9" xfId="0" applyFont="1" applyBorder="1"/>
    <xf numFmtId="0" fontId="18" fillId="0" borderId="7" xfId="0" applyFont="1" applyBorder="1"/>
    <xf numFmtId="4" fontId="18" fillId="0" borderId="8" xfId="0" applyNumberFormat="1" applyFont="1" applyBorder="1"/>
    <xf numFmtId="0" fontId="15" fillId="0" borderId="9" xfId="0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8" fillId="0" borderId="1" xfId="0" applyFont="1" applyBorder="1"/>
    <xf numFmtId="4" fontId="18" fillId="0" borderId="2" xfId="0" applyNumberFormat="1" applyFont="1" applyBorder="1"/>
    <xf numFmtId="0" fontId="14" fillId="0" borderId="0" xfId="0" applyFont="1" applyFill="1" applyBorder="1" applyAlignment="1">
      <alignment vertical="center"/>
    </xf>
    <xf numFmtId="0" fontId="13" fillId="0" borderId="9" xfId="0" applyFont="1" applyBorder="1" applyAlignment="1">
      <alignment horizontal="left"/>
    </xf>
    <xf numFmtId="4" fontId="13" fillId="0" borderId="5" xfId="0" applyNumberFormat="1" applyFont="1" applyBorder="1"/>
    <xf numFmtId="4" fontId="17" fillId="0" borderId="3" xfId="0" applyNumberFormat="1" applyFont="1" applyBorder="1"/>
    <xf numFmtId="4" fontId="16" fillId="0" borderId="3" xfId="0" applyNumberFormat="1" applyFont="1" applyBorder="1"/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6" fillId="0" borderId="5" xfId="0" applyNumberFormat="1" applyFont="1" applyBorder="1"/>
    <xf numFmtId="2" fontId="16" fillId="0" borderId="3" xfId="0" applyNumberFormat="1" applyFont="1" applyBorder="1"/>
    <xf numFmtId="2" fontId="16" fillId="0" borderId="2" xfId="0" applyNumberFormat="1" applyFont="1" applyBorder="1"/>
    <xf numFmtId="0" fontId="13" fillId="0" borderId="4" xfId="0" applyFont="1" applyBorder="1"/>
    <xf numFmtId="0" fontId="13" fillId="0" borderId="10" xfId="0" applyFont="1" applyBorder="1"/>
    <xf numFmtId="4" fontId="13" fillId="0" borderId="6" xfId="0" applyNumberFormat="1" applyFont="1" applyBorder="1"/>
    <xf numFmtId="4" fontId="13" fillId="0" borderId="11" xfId="0" applyNumberFormat="1" applyFont="1" applyBorder="1"/>
    <xf numFmtId="0" fontId="16" fillId="0" borderId="1" xfId="0" applyFont="1" applyFill="1" applyBorder="1"/>
    <xf numFmtId="0" fontId="16" fillId="0" borderId="2" xfId="0" applyFont="1" applyBorder="1"/>
    <xf numFmtId="0" fontId="20" fillId="0" borderId="0" xfId="0" applyFont="1"/>
    <xf numFmtId="0" fontId="21" fillId="2" borderId="4" xfId="0" applyFont="1" applyFill="1" applyBorder="1"/>
    <xf numFmtId="0" fontId="22" fillId="2" borderId="10" xfId="0" applyFont="1" applyFill="1" applyBorder="1"/>
    <xf numFmtId="2" fontId="14" fillId="0" borderId="1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8" fillId="0" borderId="8" xfId="0" applyFont="1" applyBorder="1"/>
    <xf numFmtId="0" fontId="17" fillId="0" borderId="2" xfId="0" applyFont="1" applyBorder="1"/>
    <xf numFmtId="0" fontId="18" fillId="0" borderId="2" xfId="0" applyFont="1" applyBorder="1"/>
    <xf numFmtId="0" fontId="13" fillId="0" borderId="11" xfId="0" applyFont="1" applyBorder="1"/>
    <xf numFmtId="4" fontId="18" fillId="0" borderId="7" xfId="0" applyNumberFormat="1" applyFont="1" applyFill="1" applyBorder="1"/>
    <xf numFmtId="4" fontId="13" fillId="0" borderId="2" xfId="0" applyNumberFormat="1" applyFont="1" applyBorder="1"/>
    <xf numFmtId="0" fontId="17" fillId="0" borderId="12" xfId="0" applyFont="1" applyBorder="1"/>
    <xf numFmtId="0" fontId="14" fillId="0" borderId="13" xfId="0" applyFont="1" applyBorder="1" applyAlignment="1">
      <alignment vertical="center"/>
    </xf>
    <xf numFmtId="4" fontId="13" fillId="0" borderId="14" xfId="0" applyNumberFormat="1" applyFont="1" applyBorder="1"/>
    <xf numFmtId="4" fontId="13" fillId="0" borderId="15" xfId="0" applyNumberFormat="1" applyFont="1" applyBorder="1"/>
    <xf numFmtId="4" fontId="16" fillId="0" borderId="8" xfId="0" applyNumberFormat="1" applyFont="1" applyBorder="1"/>
    <xf numFmtId="4" fontId="14" fillId="0" borderId="3" xfId="0" applyNumberFormat="1" applyFont="1" applyBorder="1" applyAlignment="1">
      <alignment horizontal="right" vertical="center"/>
    </xf>
    <xf numFmtId="0" fontId="17" fillId="0" borderId="0" xfId="0" applyFont="1" applyBorder="1"/>
    <xf numFmtId="0" fontId="13" fillId="0" borderId="1" xfId="0" applyFont="1" applyBorder="1"/>
    <xf numFmtId="0" fontId="13" fillId="0" borderId="0" xfId="0" applyFont="1" applyBorder="1"/>
    <xf numFmtId="0" fontId="15" fillId="0" borderId="7" xfId="0" applyFont="1" applyBorder="1" applyAlignment="1">
      <alignment horizontal="left" vertical="center"/>
    </xf>
    <xf numFmtId="0" fontId="0" fillId="0" borderId="0" xfId="0" applyFill="1" applyBorder="1"/>
    <xf numFmtId="4" fontId="17" fillId="0" borderId="0" xfId="0" applyNumberFormat="1" applyFont="1" applyFill="1" applyBorder="1"/>
    <xf numFmtId="0" fontId="13" fillId="0" borderId="2" xfId="0" applyFont="1" applyBorder="1"/>
    <xf numFmtId="0" fontId="22" fillId="2" borderId="11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 applyAlignment="1">
      <alignment horizontal="left"/>
    </xf>
    <xf numFmtId="0" fontId="21" fillId="2" borderId="6" xfId="0" applyNumberFormat="1" applyFont="1" applyFill="1" applyBorder="1" applyAlignment="1">
      <alignment horizontal="right" vertical="center" wrapText="1"/>
    </xf>
    <xf numFmtId="14" fontId="14" fillId="0" borderId="16" xfId="0" applyNumberFormat="1" applyFont="1" applyFill="1" applyBorder="1" applyAlignment="1">
      <alignment horizontal="left" vertical="center"/>
    </xf>
    <xf numFmtId="4" fontId="15" fillId="0" borderId="5" xfId="0" applyNumberFormat="1" applyFont="1" applyBorder="1"/>
    <xf numFmtId="0" fontId="16" fillId="0" borderId="9" xfId="0" applyFont="1" applyBorder="1" applyAlignment="1">
      <alignment horizontal="left"/>
    </xf>
    <xf numFmtId="2" fontId="16" fillId="0" borderId="5" xfId="0" applyNumberFormat="1" applyFont="1" applyBorder="1"/>
    <xf numFmtId="2" fontId="16" fillId="0" borderId="8" xfId="0" applyNumberFormat="1" applyFont="1" applyBorder="1"/>
    <xf numFmtId="4" fontId="15" fillId="0" borderId="8" xfId="0" applyNumberFormat="1" applyFont="1" applyBorder="1"/>
    <xf numFmtId="2" fontId="21" fillId="2" borderId="6" xfId="0" applyNumberFormat="1" applyFont="1" applyFill="1" applyBorder="1" applyAlignment="1">
      <alignment horizontal="right" vertical="center" wrapText="1"/>
    </xf>
    <xf numFmtId="2" fontId="21" fillId="2" borderId="11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/>
    <xf numFmtId="4" fontId="13" fillId="3" borderId="5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 vertical="center"/>
    </xf>
    <xf numFmtId="4" fontId="15" fillId="3" borderId="5" xfId="0" applyNumberFormat="1" applyFont="1" applyFill="1" applyBorder="1" applyAlignment="1">
      <alignment horizontal="right" vertical="center"/>
    </xf>
    <xf numFmtId="4" fontId="14" fillId="3" borderId="14" xfId="0" applyNumberFormat="1" applyFont="1" applyFill="1" applyBorder="1" applyAlignment="1">
      <alignment horizontal="right" vertical="center"/>
    </xf>
    <xf numFmtId="4" fontId="16" fillId="3" borderId="3" xfId="0" applyNumberFormat="1" applyFont="1" applyFill="1" applyBorder="1" applyAlignment="1">
      <alignment horizontal="right"/>
    </xf>
    <xf numFmtId="4" fontId="13" fillId="3" borderId="3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4" fontId="13" fillId="3" borderId="6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4" fontId="13" fillId="2" borderId="8" xfId="0" applyNumberFormat="1" applyFont="1" applyFill="1" applyBorder="1"/>
    <xf numFmtId="4" fontId="17" fillId="2" borderId="2" xfId="0" applyNumberFormat="1" applyFont="1" applyFill="1" applyBorder="1"/>
    <xf numFmtId="4" fontId="16" fillId="2" borderId="2" xfId="0" applyNumberFormat="1" applyFont="1" applyFill="1" applyBorder="1"/>
    <xf numFmtId="4" fontId="16" fillId="2" borderId="8" xfId="0" applyNumberFormat="1" applyFont="1" applyFill="1" applyBorder="1"/>
    <xf numFmtId="4" fontId="13" fillId="2" borderId="15" xfId="0" applyNumberFormat="1" applyFont="1" applyFill="1" applyBorder="1"/>
    <xf numFmtId="2" fontId="16" fillId="2" borderId="8" xfId="0" applyNumberFormat="1" applyFont="1" applyFill="1" applyBorder="1"/>
    <xf numFmtId="2" fontId="16" fillId="2" borderId="2" xfId="0" applyNumberFormat="1" applyFont="1" applyFill="1" applyBorder="1"/>
    <xf numFmtId="4" fontId="13" fillId="2" borderId="11" xfId="0" applyNumberFormat="1" applyFont="1" applyFill="1" applyBorder="1"/>
    <xf numFmtId="0" fontId="16" fillId="2" borderId="3" xfId="0" applyFont="1" applyFill="1" applyBorder="1"/>
    <xf numFmtId="4" fontId="13" fillId="2" borderId="5" xfId="0" applyNumberFormat="1" applyFont="1" applyFill="1" applyBorder="1"/>
    <xf numFmtId="4" fontId="16" fillId="3" borderId="3" xfId="0" applyNumberFormat="1" applyFont="1" applyFill="1" applyBorder="1"/>
    <xf numFmtId="4" fontId="18" fillId="3" borderId="5" xfId="0" applyNumberFormat="1" applyFont="1" applyFill="1" applyBorder="1"/>
    <xf numFmtId="4" fontId="17" fillId="3" borderId="3" xfId="0" applyNumberFormat="1" applyFont="1" applyFill="1" applyBorder="1"/>
    <xf numFmtId="4" fontId="18" fillId="3" borderId="3" xfId="0" applyNumberFormat="1" applyFont="1" applyFill="1" applyBorder="1"/>
    <xf numFmtId="4" fontId="18" fillId="4" borderId="5" xfId="0" applyNumberFormat="1" applyFont="1" applyFill="1" applyBorder="1"/>
    <xf numFmtId="4" fontId="17" fillId="4" borderId="3" xfId="0" applyNumberFormat="1" applyFont="1" applyFill="1" applyBorder="1"/>
    <xf numFmtId="4" fontId="17" fillId="4" borderId="2" xfId="0" applyNumberFormat="1" applyFont="1" applyFill="1" applyBorder="1"/>
    <xf numFmtId="4" fontId="18" fillId="4" borderId="3" xfId="0" applyNumberFormat="1" applyFont="1" applyFill="1" applyBorder="1"/>
    <xf numFmtId="4" fontId="13" fillId="3" borderId="3" xfId="0" applyNumberFormat="1" applyFont="1" applyFill="1" applyBorder="1"/>
    <xf numFmtId="4" fontId="13" fillId="3" borderId="6" xfId="0" applyNumberFormat="1" applyFont="1" applyFill="1" applyBorder="1"/>
    <xf numFmtId="164" fontId="0" fillId="0" borderId="0" xfId="0" applyNumberFormat="1"/>
    <xf numFmtId="0" fontId="0" fillId="0" borderId="18" xfId="0" applyBorder="1"/>
    <xf numFmtId="164" fontId="0" fillId="0" borderId="18" xfId="0" applyNumberFormat="1" applyBorder="1"/>
    <xf numFmtId="0" fontId="2" fillId="0" borderId="18" xfId="0" applyFont="1" applyBorder="1"/>
    <xf numFmtId="4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Fill="1" applyBorder="1"/>
    <xf numFmtId="164" fontId="2" fillId="0" borderId="18" xfId="0" applyNumberFormat="1" applyFont="1" applyBorder="1"/>
    <xf numFmtId="0" fontId="27" fillId="0" borderId="18" xfId="0" applyFont="1" applyFill="1" applyBorder="1"/>
    <xf numFmtId="164" fontId="27" fillId="0" borderId="18" xfId="0" applyNumberFormat="1" applyFont="1" applyBorder="1"/>
    <xf numFmtId="0" fontId="0" fillId="0" borderId="19" xfId="0" applyBorder="1"/>
    <xf numFmtId="164" fontId="0" fillId="0" borderId="6" xfId="0" applyNumberFormat="1" applyBorder="1"/>
    <xf numFmtId="0" fontId="26" fillId="0" borderId="20" xfId="0" applyFont="1" applyBorder="1" applyAlignment="1">
      <alignment horizontal="right"/>
    </xf>
    <xf numFmtId="4" fontId="2" fillId="0" borderId="21" xfId="0" applyNumberFormat="1" applyFont="1" applyBorder="1"/>
    <xf numFmtId="0" fontId="26" fillId="0" borderId="6" xfId="0" applyFont="1" applyBorder="1" applyAlignment="1">
      <alignment horizont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5" fillId="0" borderId="22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6" fillId="0" borderId="20" xfId="0" applyFont="1" applyBorder="1" applyAlignment="1">
      <alignment horizontal="right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</cellXfs>
  <cellStyles count="2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  <cellStyle name="Collegamento ipertestuale" xfId="34"/>
    <cellStyle name="Collegamento ipertestuale visitato" xfId="35"/>
    <cellStyle name="Collegamento ipertestuale" xfId="36"/>
    <cellStyle name="Collegamento ipertestuale visitato" xfId="37"/>
    <cellStyle name="Collegamento ipertestuale" xfId="38"/>
    <cellStyle name="Collegamento ipertestuale visitato" xfId="39"/>
    <cellStyle name="Collegamento ipertestuale" xfId="40"/>
    <cellStyle name="Collegamento ipertestuale visitato" xfId="41"/>
    <cellStyle name="Collegamento ipertestuale" xfId="42"/>
    <cellStyle name="Collegamento ipertestuale visitato" xfId="43"/>
    <cellStyle name="Collegamento ipertestuale" xfId="44"/>
    <cellStyle name="Collegamento ipertestuale visitato" xfId="45"/>
    <cellStyle name="Collegamento ipertestuale" xfId="46"/>
    <cellStyle name="Collegamento ipertestuale visitato" xfId="47"/>
    <cellStyle name="Collegamento ipertestuale" xfId="48"/>
    <cellStyle name="Collegamento ipertestuale visitato" xfId="49"/>
    <cellStyle name="Collegamento ipertestuale" xfId="50"/>
    <cellStyle name="Collegamento ipertestuale visitato" xfId="51"/>
    <cellStyle name="Collegamento ipertestuale" xfId="52"/>
    <cellStyle name="Collegamento ipertestuale visitato" xfId="53"/>
    <cellStyle name="Collegamento ipertestuale" xfId="54"/>
    <cellStyle name="Collegamento ipertestuale visitato" xfId="55"/>
    <cellStyle name="Collegamento ipertestuale" xfId="56"/>
    <cellStyle name="Collegamento ipertestuale visitato" xfId="57"/>
    <cellStyle name="Collegamento ipertestuale" xfId="58"/>
    <cellStyle name="Collegamento ipertestuale visitato" xfId="59"/>
    <cellStyle name="Collegamento ipertestuale" xfId="60"/>
    <cellStyle name="Collegamento ipertestuale visitato" xfId="61"/>
    <cellStyle name="Collegamento ipertestuale" xfId="62"/>
    <cellStyle name="Collegamento ipertestuale visitato" xfId="63"/>
    <cellStyle name="Collegamento ipertestuale" xfId="64"/>
    <cellStyle name="Collegamento ipertestuale visitato" xfId="65"/>
    <cellStyle name="Collegamento ipertestuale" xfId="66"/>
    <cellStyle name="Collegamento ipertestuale visitato" xfId="67"/>
    <cellStyle name="Collegamento ipertestuale" xfId="68"/>
    <cellStyle name="Collegamento ipertestuale visitato" xfId="69"/>
    <cellStyle name="Collegamento ipertestuale" xfId="70"/>
    <cellStyle name="Collegamento ipertestuale visitato" xfId="71"/>
    <cellStyle name="Collegamento ipertestuale" xfId="72"/>
    <cellStyle name="Collegamento ipertestuale visitato" xfId="73"/>
    <cellStyle name="Collegamento ipertestuale" xfId="74"/>
    <cellStyle name="Collegamento ipertestuale visitato" xfId="75"/>
    <cellStyle name="Collegamento ipertestuale" xfId="76"/>
    <cellStyle name="Collegamento ipertestuale visitato" xfId="77"/>
    <cellStyle name="Collegamento ipertestuale" xfId="78"/>
    <cellStyle name="Collegamento ipertestuale visitato" xfId="79"/>
    <cellStyle name="Collegamento ipertestuale" xfId="80"/>
    <cellStyle name="Collegamento ipertestuale visitato" xfId="81"/>
    <cellStyle name="Collegamento ipertestuale" xfId="82"/>
    <cellStyle name="Collegamento ipertestuale visitato" xfId="83"/>
    <cellStyle name="Collegamento ipertestuale" xfId="84"/>
    <cellStyle name="Collegamento ipertestuale visitato" xfId="85"/>
    <cellStyle name="Collegamento ipertestuale" xfId="86"/>
    <cellStyle name="Collegamento ipertestuale visitato" xfId="87"/>
    <cellStyle name="Collegamento ipertestuale" xfId="88"/>
    <cellStyle name="Collegamento ipertestuale visitato" xfId="89"/>
    <cellStyle name="Collegamento ipertestuale" xfId="90"/>
    <cellStyle name="Collegamento ipertestuale visitato" xfId="91"/>
    <cellStyle name="Collegamento ipertestuale" xfId="92"/>
    <cellStyle name="Collegamento ipertestuale visitato" xfId="93"/>
    <cellStyle name="Collegamento ipertestuale" xfId="94"/>
    <cellStyle name="Collegamento ipertestuale visitato" xfId="95"/>
    <cellStyle name="Collegamento ipertestuale" xfId="96"/>
    <cellStyle name="Collegamento ipertestuale visitato" xfId="97"/>
    <cellStyle name="Collegamento ipertestuale" xfId="98"/>
    <cellStyle name="Collegamento ipertestuale visitato" xfId="99"/>
    <cellStyle name="Collegamento ipertestuale" xfId="100"/>
    <cellStyle name="Collegamento ipertestuale visitato" xfId="101"/>
    <cellStyle name="Collegamento ipertestuale" xfId="102"/>
    <cellStyle name="Collegamento ipertestuale visitato" xfId="103"/>
    <cellStyle name="Collegamento ipertestuale" xfId="104"/>
    <cellStyle name="Collegamento ipertestuale visitato" xfId="105"/>
    <cellStyle name="Collegamento ipertestuale" xfId="106"/>
    <cellStyle name="Collegamento ipertestuale visitato" xfId="107"/>
    <cellStyle name="Collegamento ipertestuale" xfId="108"/>
    <cellStyle name="Collegamento ipertestuale visitato" xfId="109"/>
    <cellStyle name="Collegamento ipertestuale" xfId="110"/>
    <cellStyle name="Collegamento ipertestuale visitato" xfId="111"/>
    <cellStyle name="Collegamento ipertestuale" xfId="112"/>
    <cellStyle name="Collegamento ipertestuale visitato" xfId="113"/>
    <cellStyle name="Collegamento ipertestuale" xfId="114"/>
    <cellStyle name="Collegamento ipertestuale visitato" xfId="115"/>
    <cellStyle name="Collegamento ipertestuale" xfId="116"/>
    <cellStyle name="Collegamento ipertestuale visitato" xfId="117"/>
    <cellStyle name="Collegamento ipertestuale" xfId="118"/>
    <cellStyle name="Collegamento ipertestuale visitato" xfId="119"/>
    <cellStyle name="Collegamento ipertestuale" xfId="120"/>
    <cellStyle name="Collegamento ipertestuale visitato" xfId="121"/>
    <cellStyle name="Collegamento ipertestuale" xfId="122"/>
    <cellStyle name="Collegamento ipertestuale visitato" xfId="123"/>
    <cellStyle name="Collegamento ipertestuale" xfId="124"/>
    <cellStyle name="Collegamento ipertestuale visitato" xfId="125"/>
    <cellStyle name="Collegamento ipertestuale" xfId="126"/>
    <cellStyle name="Collegamento ipertestuale visitato" xfId="127"/>
    <cellStyle name="Collegamento ipertestuale" xfId="128"/>
    <cellStyle name="Collegamento ipertestuale visitato" xfId="129"/>
    <cellStyle name="Collegamento ipertestuale" xfId="130"/>
    <cellStyle name="Collegamento ipertestuale visitato" xfId="131"/>
    <cellStyle name="Collegamento ipertestuale" xfId="132"/>
    <cellStyle name="Collegamento ipertestuale visitato" xfId="133"/>
    <cellStyle name="Collegamento ipertestuale" xfId="134"/>
    <cellStyle name="Collegamento ipertestuale visitato" xfId="135"/>
    <cellStyle name="Collegamento ipertestuale" xfId="136"/>
    <cellStyle name="Collegamento ipertestuale visitato" xfId="137"/>
    <cellStyle name="Collegamento ipertestuale" xfId="138"/>
    <cellStyle name="Collegamento ipertestuale visitato" xfId="139"/>
    <cellStyle name="Collegamento ipertestuale" xfId="140"/>
    <cellStyle name="Collegamento ipertestuale visitato" xfId="141"/>
    <cellStyle name="Collegamento ipertestuale" xfId="142"/>
    <cellStyle name="Collegamento ipertestuale visitato" xfId="143"/>
    <cellStyle name="Collegamento ipertestuale" xfId="144"/>
    <cellStyle name="Collegamento ipertestuale visitato" xfId="145"/>
    <cellStyle name="Collegamento ipertestuale" xfId="146"/>
    <cellStyle name="Collegamento ipertestuale visitato" xfId="147"/>
    <cellStyle name="Collegamento ipertestuale" xfId="148"/>
    <cellStyle name="Collegamento ipertestuale visitato" xfId="149"/>
    <cellStyle name="Collegamento ipertestuale" xfId="150"/>
    <cellStyle name="Collegamento ipertestuale visitato" xfId="151"/>
    <cellStyle name="Collegamento ipertestuale" xfId="152"/>
    <cellStyle name="Collegamento ipertestuale visitato" xfId="153"/>
    <cellStyle name="Collegamento ipertestuale" xfId="154"/>
    <cellStyle name="Collegamento ipertestuale visitato" xfId="155"/>
    <cellStyle name="Collegamento ipertestuale" xfId="156"/>
    <cellStyle name="Collegamento ipertestuale visitato" xfId="157"/>
    <cellStyle name="Collegamento ipertestuale" xfId="158"/>
    <cellStyle name="Collegamento ipertestuale visitato" xfId="159"/>
    <cellStyle name="Collegamento ipertestuale" xfId="160"/>
    <cellStyle name="Collegamento ipertestuale visitato" xfId="161"/>
    <cellStyle name="Collegamento ipertestuale" xfId="162"/>
    <cellStyle name="Collegamento ipertestuale visitato" xfId="163"/>
    <cellStyle name="Collegamento ipertestuale" xfId="164"/>
    <cellStyle name="Collegamento ipertestuale visitato" xfId="165"/>
    <cellStyle name="Collegamento ipertestuale" xfId="166"/>
    <cellStyle name="Collegamento ipertestuale visitato" xfId="167"/>
    <cellStyle name="Collegamento ipertestuale" xfId="168"/>
    <cellStyle name="Collegamento ipertestuale visitato" xfId="169"/>
    <cellStyle name="Collegamento ipertestuale" xfId="170"/>
    <cellStyle name="Collegamento ipertestuale visitato" xfId="171"/>
    <cellStyle name="Collegamento ipertestuale" xfId="172"/>
    <cellStyle name="Collegamento ipertestuale visitato" xfId="173"/>
    <cellStyle name="Collegamento ipertestuale" xfId="174"/>
    <cellStyle name="Collegamento ipertestuale visitato" xfId="175"/>
    <cellStyle name="Collegamento ipertestuale" xfId="176"/>
    <cellStyle name="Collegamento ipertestuale visitato" xfId="177"/>
    <cellStyle name="Collegamento ipertestuale" xfId="178"/>
    <cellStyle name="Collegamento ipertestuale visitato" xfId="179"/>
    <cellStyle name="Collegamento ipertestuale" xfId="180"/>
    <cellStyle name="Collegamento ipertestuale visitato" xfId="181"/>
    <cellStyle name="Collegamento ipertestuale" xfId="182"/>
    <cellStyle name="Collegamento ipertestuale visitato" xfId="183"/>
    <cellStyle name="Collegamento ipertestuale" xfId="184"/>
    <cellStyle name="Collegamento ipertestuale visitato" xfId="185"/>
    <cellStyle name="Collegamento ipertestuale" xfId="186"/>
    <cellStyle name="Collegamento ipertestuale visitato" xfId="187"/>
    <cellStyle name="Collegamento ipertestuale" xfId="188"/>
    <cellStyle name="Collegamento ipertestuale visitato" xfId="189"/>
    <cellStyle name="Collegamento ipertestuale" xfId="190"/>
    <cellStyle name="Collegamento ipertestuale visitato" xfId="191"/>
    <cellStyle name="Collegamento ipertestuale" xfId="192"/>
    <cellStyle name="Collegamento ipertestuale visitato" xfId="193"/>
    <cellStyle name="Collegamento ipertestuale" xfId="194"/>
    <cellStyle name="Collegamento ipertestuale visitato" xfId="195"/>
    <cellStyle name="Collegamento ipertestuale" xfId="196"/>
    <cellStyle name="Collegamento ipertestuale visitato" xfId="197"/>
    <cellStyle name="Collegamento ipertestuale" xfId="198"/>
    <cellStyle name="Collegamento ipertestuale visitato" xfId="199"/>
    <cellStyle name="Collegamento ipertestuale" xfId="200"/>
    <cellStyle name="Collegamento ipertestuale visitato" xfId="201"/>
    <cellStyle name="Collegamento ipertestuale" xfId="202"/>
    <cellStyle name="Collegamento ipertestuale visitato" xfId="203"/>
    <cellStyle name="Collegamento ipertestuale" xfId="204"/>
    <cellStyle name="Collegamento ipertestuale visitato" xfId="205"/>
    <cellStyle name="Collegamento ipertestuale" xfId="206"/>
    <cellStyle name="Collegamento ipertestuale visitato" xfId="207"/>
    <cellStyle name="Collegamento ipertestuale" xfId="208"/>
    <cellStyle name="Collegamento ipertestuale visitato" xfId="209"/>
    <cellStyle name="Collegamento ipertestuale" xfId="210"/>
    <cellStyle name="Collegamento ipertestuale visitato" xfId="211"/>
    <cellStyle name="Collegamento ipertestuale" xfId="212"/>
    <cellStyle name="Collegamento ipertestuale visitato" xfId="213"/>
    <cellStyle name="Collegamento ipertestuale" xfId="214"/>
    <cellStyle name="Collegamento ipertestuale visitato" xfId="215"/>
    <cellStyle name="Collegamento ipertestuale" xfId="216"/>
    <cellStyle name="Collegamento ipertestuale visitato" xfId="217"/>
    <cellStyle name="Collegamento ipertestuale" xfId="218"/>
    <cellStyle name="Collegamento ipertestuale visitato" xfId="219"/>
    <cellStyle name="Collegamento ipertestuale" xfId="220"/>
    <cellStyle name="Collegamento ipertestuale visitato" xfId="221"/>
    <cellStyle name="Collegamento ipertestuale" xfId="222"/>
    <cellStyle name="Collegamento ipertestuale visitato" xfId="223"/>
    <cellStyle name="Collegamento ipertestuale" xfId="224"/>
    <cellStyle name="Collegamento ipertestuale visitato" xfId="225"/>
    <cellStyle name="Collegamento ipertestuale" xfId="226"/>
    <cellStyle name="Collegamento ipertestuale visitato" xfId="227"/>
    <cellStyle name="Collegamento ipertestuale" xfId="228"/>
    <cellStyle name="Collegamento ipertestuale visitato" xfId="229"/>
    <cellStyle name="Collegamento ipertestuale" xfId="230"/>
    <cellStyle name="Collegamento ipertestuale visitato" xfId="231"/>
    <cellStyle name="Collegamento ipertestuale" xfId="232"/>
    <cellStyle name="Collegamento ipertestuale visitato" xfId="233"/>
    <cellStyle name="Collegamento ipertestuale" xfId="234"/>
    <cellStyle name="Collegamento ipertestuale visitato" xfId="235"/>
    <cellStyle name="Collegamento ipertestuale" xfId="236"/>
    <cellStyle name="Collegamento ipertestuale visitato" xfId="237"/>
    <cellStyle name="Collegamento ipertestuale" xfId="238"/>
    <cellStyle name="Collegamento ipertestuale visitato" xfId="239"/>
    <cellStyle name="Collegamento ipertestuale" xfId="240"/>
    <cellStyle name="Collegamento ipertestuale visitato" xfId="241"/>
    <cellStyle name="Collegamento ipertestuale" xfId="242"/>
    <cellStyle name="Collegamento ipertestuale visitato" xfId="243"/>
    <cellStyle name="Collegamento ipertestuale" xfId="244"/>
    <cellStyle name="Collegamento ipertestuale visitato" xfId="245"/>
    <cellStyle name="Collegamento ipertestuale" xfId="246"/>
    <cellStyle name="Collegamento ipertestuale visitato" xfId="247"/>
    <cellStyle name="Collegamento ipertestuale" xfId="248"/>
    <cellStyle name="Collegamento ipertestuale visitato" xfId="249"/>
    <cellStyle name="Collegamento ipertestuale" xfId="250"/>
    <cellStyle name="Collegamento ipertestuale visitato" xfId="251"/>
    <cellStyle name="Collegamento ipertestuale" xfId="252"/>
    <cellStyle name="Collegamento ipertestuale visitato" xfId="253"/>
    <cellStyle name="Collegamento ipertestuale" xfId="254"/>
    <cellStyle name="Collegamento ipertestuale visitato" xfId="255"/>
    <cellStyle name="Collegamento ipertestuale" xfId="256"/>
    <cellStyle name="Collegamento ipertestuale visitato" xfId="2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114300</xdr:rowOff>
    </xdr:from>
    <xdr:to>
      <xdr:col>3</xdr:col>
      <xdr:colOff>1295400</xdr:colOff>
      <xdr:row>1</xdr:row>
      <xdr:rowOff>114300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300"/>
          <a:ext cx="2667000" cy="1219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tabSelected="1" workbookViewId="0" topLeftCell="A1">
      <selection activeCell="B1" sqref="B1"/>
    </sheetView>
  </sheetViews>
  <sheetFormatPr defaultColWidth="11.00390625" defaultRowHeight="15.75"/>
  <cols>
    <col min="1" max="1" width="16.50390625" style="0" customWidth="1"/>
    <col min="2" max="2" width="19.00390625" style="0" customWidth="1"/>
    <col min="3" max="3" width="48.375" style="0" customWidth="1"/>
    <col min="4" max="4" width="17.625" style="0" customWidth="1"/>
    <col min="5" max="5" width="27.875" style="0" customWidth="1"/>
    <col min="6" max="6" width="23.375" style="0" customWidth="1"/>
    <col min="7" max="7" width="22.50390625" style="0" customWidth="1"/>
    <col min="8" max="8" width="2.625" style="0" customWidth="1"/>
    <col min="9" max="9" width="6.00390625" style="0" customWidth="1"/>
    <col min="10" max="10" width="42.625" style="0" customWidth="1"/>
    <col min="11" max="11" width="16.50390625" style="0" customWidth="1"/>
    <col min="12" max="12" width="27.875" style="0" customWidth="1"/>
    <col min="13" max="13" width="21.875" style="0" customWidth="1"/>
    <col min="14" max="14" width="21.50390625" style="0" customWidth="1"/>
    <col min="15" max="15" width="11.125" style="0" bestFit="1" customWidth="1"/>
  </cols>
  <sheetData>
    <row r="1" spans="1:14" ht="96" customHeight="1">
      <c r="A1" s="149"/>
      <c r="B1" s="151" t="s">
        <v>113</v>
      </c>
      <c r="D1" s="33"/>
      <c r="E1" s="150"/>
      <c r="F1" s="148"/>
      <c r="G1" s="91"/>
      <c r="K1" s="153"/>
      <c r="L1" s="154"/>
      <c r="M1" s="154"/>
      <c r="N1" s="154"/>
    </row>
    <row r="2" spans="2:14" ht="39" customHeight="1">
      <c r="B2" s="152" t="s">
        <v>110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41.1" customHeight="1">
      <c r="A3" s="2"/>
      <c r="B3" s="152" t="s">
        <v>111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5" customHeight="1" thickBot="1">
      <c r="A4" s="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74.1" customHeight="1" thickBot="1">
      <c r="A5" s="2"/>
      <c r="B5" s="67" t="s">
        <v>24</v>
      </c>
      <c r="C5" s="68"/>
      <c r="D5" s="93" t="s">
        <v>88</v>
      </c>
      <c r="E5" s="100" t="s">
        <v>89</v>
      </c>
      <c r="F5" s="101" t="s">
        <v>94</v>
      </c>
      <c r="G5" s="101" t="s">
        <v>43</v>
      </c>
      <c r="H5" s="2"/>
      <c r="I5" s="27" t="s">
        <v>25</v>
      </c>
      <c r="J5" s="90"/>
      <c r="K5" s="93" t="s">
        <v>91</v>
      </c>
      <c r="L5" s="101" t="s">
        <v>90</v>
      </c>
      <c r="M5" s="101" t="s">
        <v>94</v>
      </c>
      <c r="N5" s="100" t="s">
        <v>60</v>
      </c>
      <c r="O5" s="66"/>
    </row>
    <row r="6" spans="1:14" ht="18.6">
      <c r="A6" s="2"/>
      <c r="B6" s="4"/>
      <c r="C6" s="1"/>
      <c r="D6" s="102"/>
      <c r="E6" s="24"/>
      <c r="F6" s="5"/>
      <c r="G6" s="111"/>
      <c r="H6" s="2"/>
      <c r="I6" s="64"/>
      <c r="J6" s="65"/>
      <c r="K6" s="122"/>
      <c r="L6" s="65"/>
      <c r="M6" s="65"/>
      <c r="N6" s="120"/>
    </row>
    <row r="7" spans="1:14" ht="18.9" customHeight="1" thickBot="1">
      <c r="A7" s="2"/>
      <c r="B7" s="51" t="s">
        <v>15</v>
      </c>
      <c r="C7" s="39"/>
      <c r="D7" s="103">
        <f>SUM(D8:D14)</f>
        <v>103191.05</v>
      </c>
      <c r="E7" s="95">
        <f>SUM(E8:E14)</f>
        <v>298115.30000000005</v>
      </c>
      <c r="F7" s="99">
        <f>G7-E7</f>
        <v>193984.69999999995</v>
      </c>
      <c r="G7" s="112">
        <f>SUM(G8:G14)</f>
        <v>492100</v>
      </c>
      <c r="H7" s="7"/>
      <c r="I7" s="41" t="s">
        <v>64</v>
      </c>
      <c r="J7" s="71"/>
      <c r="K7" s="123">
        <f>SUM(K8:K9)</f>
        <v>255.25</v>
      </c>
      <c r="L7" s="40">
        <f>SUM(L8:L9)</f>
        <v>1900.2</v>
      </c>
      <c r="M7" s="40"/>
      <c r="N7" s="121">
        <f>L7</f>
        <v>1900.2</v>
      </c>
    </row>
    <row r="8" spans="1:14" ht="19.2" thickTop="1">
      <c r="A8" s="2"/>
      <c r="B8" s="46">
        <v>1.11</v>
      </c>
      <c r="C8" s="47" t="s">
        <v>33</v>
      </c>
      <c r="D8" s="104">
        <f>19903.86</f>
        <v>19903.86</v>
      </c>
      <c r="E8" s="53">
        <f>15153.7+25691.43+19903.86</f>
        <v>60748.990000000005</v>
      </c>
      <c r="F8" s="53">
        <f>G8-E8</f>
        <v>23251.009999999995</v>
      </c>
      <c r="G8" s="113">
        <v>84000</v>
      </c>
      <c r="H8" s="7"/>
      <c r="I8" s="37" t="s">
        <v>65</v>
      </c>
      <c r="J8" s="72"/>
      <c r="K8" s="124">
        <f>255.25</f>
        <v>255.25</v>
      </c>
      <c r="L8" s="36">
        <f>66.4+908.85+669.7+255.25</f>
        <v>1900.2</v>
      </c>
      <c r="M8" s="36"/>
      <c r="N8" s="28">
        <f>L8</f>
        <v>1900.2</v>
      </c>
    </row>
    <row r="9" spans="1:14" ht="19.2">
      <c r="A9" s="2"/>
      <c r="B9" s="46">
        <v>1.12</v>
      </c>
      <c r="C9" s="47" t="s">
        <v>45</v>
      </c>
      <c r="D9" s="104">
        <v>22653.79</v>
      </c>
      <c r="E9" s="53">
        <f>72706.82+22653.79</f>
        <v>95360.61000000002</v>
      </c>
      <c r="F9" s="53">
        <f aca="true" t="shared" si="0" ref="F9:F61">G9-E9</f>
        <v>20539.389999999985</v>
      </c>
      <c r="G9" s="113">
        <v>115900</v>
      </c>
      <c r="H9" s="7"/>
      <c r="I9" s="48"/>
      <c r="J9" s="73"/>
      <c r="K9" s="125"/>
      <c r="L9" s="76"/>
      <c r="M9" s="76"/>
      <c r="N9" s="28"/>
    </row>
    <row r="10" spans="1:14" ht="19.8" thickBot="1">
      <c r="A10" s="2"/>
      <c r="B10" s="46">
        <v>1.13</v>
      </c>
      <c r="C10" s="47" t="s">
        <v>46</v>
      </c>
      <c r="D10" s="104">
        <f>561.6</f>
        <v>561.6</v>
      </c>
      <c r="E10" s="53">
        <f>37631.2+561.6</f>
        <v>38192.799999999996</v>
      </c>
      <c r="F10" s="53">
        <f t="shared" si="0"/>
        <v>26407.200000000004</v>
      </c>
      <c r="G10" s="113">
        <v>64600</v>
      </c>
      <c r="H10" s="7"/>
      <c r="I10" s="41" t="s">
        <v>66</v>
      </c>
      <c r="J10" s="71"/>
      <c r="K10" s="123">
        <f>SUM(K11:K17)</f>
        <v>11330.25</v>
      </c>
      <c r="L10" s="40">
        <f>SUM(L11:L17)</f>
        <v>44088</v>
      </c>
      <c r="M10" s="40"/>
      <c r="N10" s="121">
        <f>L10</f>
        <v>44088</v>
      </c>
    </row>
    <row r="11" spans="1:14" ht="19.2" thickTop="1">
      <c r="A11" s="2"/>
      <c r="B11" s="46">
        <v>1.14</v>
      </c>
      <c r="C11" s="47" t="s">
        <v>32</v>
      </c>
      <c r="D11" s="104">
        <v>14070.4</v>
      </c>
      <c r="E11" s="53">
        <f>12687.2+12339.6+14070.4</f>
        <v>39097.200000000004</v>
      </c>
      <c r="F11" s="53">
        <f t="shared" si="0"/>
        <v>39902.799999999996</v>
      </c>
      <c r="G11" s="113">
        <v>79000</v>
      </c>
      <c r="H11" s="7"/>
      <c r="I11" s="37" t="s">
        <v>67</v>
      </c>
      <c r="J11" s="72"/>
      <c r="K11" s="124"/>
      <c r="L11" s="36">
        <f>150+4300+100</f>
        <v>4550</v>
      </c>
      <c r="M11" s="36"/>
      <c r="N11" s="28">
        <f>L11</f>
        <v>4550</v>
      </c>
    </row>
    <row r="12" spans="1:14" ht="18.6">
      <c r="A12" s="2"/>
      <c r="B12" s="46">
        <v>1.21</v>
      </c>
      <c r="C12" s="47" t="s">
        <v>47</v>
      </c>
      <c r="D12" s="104">
        <f>9406.8</f>
        <v>9406.8</v>
      </c>
      <c r="E12" s="53">
        <f>18564.4+9406.8</f>
        <v>27971.2</v>
      </c>
      <c r="F12" s="53">
        <f t="shared" si="0"/>
        <v>45028.8</v>
      </c>
      <c r="G12" s="113">
        <v>73000</v>
      </c>
      <c r="H12" s="7"/>
      <c r="I12" s="37" t="s">
        <v>68</v>
      </c>
      <c r="J12" s="72"/>
      <c r="K12" s="124">
        <f>11330.25</f>
        <v>11330.25</v>
      </c>
      <c r="L12" s="36">
        <f>3812+4214+5359+11330.25</f>
        <v>24715.25</v>
      </c>
      <c r="M12" s="36"/>
      <c r="N12" s="28">
        <f aca="true" t="shared" si="1" ref="N12:N13">L12</f>
        <v>24715.25</v>
      </c>
    </row>
    <row r="13" spans="1:14" ht="18.6">
      <c r="A13" s="2"/>
      <c r="B13" s="46">
        <v>1.22</v>
      </c>
      <c r="C13" s="47" t="s">
        <v>48</v>
      </c>
      <c r="D13" s="104">
        <f>35962.8</f>
        <v>35962.8</v>
      </c>
      <c r="E13" s="53">
        <f>149.9+35962.8</f>
        <v>36112.700000000004</v>
      </c>
      <c r="F13" s="53">
        <f t="shared" si="0"/>
        <v>17887.299999999996</v>
      </c>
      <c r="G13" s="113">
        <v>54000</v>
      </c>
      <c r="H13" s="7"/>
      <c r="I13" s="37" t="s">
        <v>69</v>
      </c>
      <c r="J13" s="72"/>
      <c r="K13" s="124"/>
      <c r="L13" s="36">
        <f>1140+13682.75</f>
        <v>14822.75</v>
      </c>
      <c r="M13" s="36"/>
      <c r="N13" s="28">
        <f t="shared" si="1"/>
        <v>14822.75</v>
      </c>
    </row>
    <row r="14" spans="1:14" ht="18.6">
      <c r="A14" s="2"/>
      <c r="B14" s="46">
        <v>1.31</v>
      </c>
      <c r="C14" s="47" t="s">
        <v>53</v>
      </c>
      <c r="D14" s="104">
        <f>631.8</f>
        <v>631.8</v>
      </c>
      <c r="E14" s="53">
        <f>631.8</f>
        <v>631.8</v>
      </c>
      <c r="F14" s="53">
        <f t="shared" si="0"/>
        <v>20968.2</v>
      </c>
      <c r="G14" s="113">
        <v>21600</v>
      </c>
      <c r="H14" s="7"/>
      <c r="I14" s="37"/>
      <c r="J14" s="72"/>
      <c r="K14" s="124"/>
      <c r="L14" s="36"/>
      <c r="M14" s="36"/>
      <c r="N14" s="28"/>
    </row>
    <row r="15" spans="1:14" ht="18.9" customHeight="1" thickBot="1">
      <c r="A15" s="2"/>
      <c r="B15" s="44" t="s">
        <v>16</v>
      </c>
      <c r="C15" s="45"/>
      <c r="D15" s="105">
        <f>SUM(D16:D27)</f>
        <v>258248.44999999998</v>
      </c>
      <c r="E15" s="95">
        <f>SUM(E16:E27)</f>
        <v>1063819.56</v>
      </c>
      <c r="F15" s="95">
        <f t="shared" si="0"/>
        <v>510980.43999999994</v>
      </c>
      <c r="G15" s="112">
        <f>SUM(G16:G27)</f>
        <v>1574800</v>
      </c>
      <c r="H15" s="7"/>
      <c r="I15" s="37"/>
      <c r="J15" s="72"/>
      <c r="K15" s="124"/>
      <c r="L15" s="36"/>
      <c r="M15" s="36"/>
      <c r="N15" s="28"/>
    </row>
    <row r="16" spans="1:14" ht="19.8" thickTop="1">
      <c r="A16" s="2"/>
      <c r="B16" s="46">
        <v>2.11</v>
      </c>
      <c r="C16" s="50" t="s">
        <v>36</v>
      </c>
      <c r="D16" s="104">
        <f>42169.14</f>
        <v>42169.14</v>
      </c>
      <c r="E16" s="54">
        <f>9659.2+97681.32+42169.14</f>
        <v>149509.66</v>
      </c>
      <c r="F16" s="54">
        <f t="shared" si="0"/>
        <v>47390.34</v>
      </c>
      <c r="G16" s="114">
        <v>196900</v>
      </c>
      <c r="H16" s="7"/>
      <c r="I16" s="48"/>
      <c r="J16" s="73"/>
      <c r="K16" s="125"/>
      <c r="L16" s="76"/>
      <c r="M16" s="76"/>
      <c r="N16" s="28"/>
    </row>
    <row r="17" spans="1:14" ht="19.2">
      <c r="A17" s="2"/>
      <c r="B17" s="46">
        <v>2.12</v>
      </c>
      <c r="C17" s="50" t="s">
        <v>54</v>
      </c>
      <c r="D17" s="104">
        <f>15839.5</f>
        <v>15839.5</v>
      </c>
      <c r="E17" s="54">
        <f>15839.5</f>
        <v>15839.5</v>
      </c>
      <c r="F17" s="54">
        <f t="shared" si="0"/>
        <v>38160.5</v>
      </c>
      <c r="G17" s="114">
        <v>54000</v>
      </c>
      <c r="H17" s="7"/>
      <c r="I17" s="48"/>
      <c r="J17" s="73"/>
      <c r="K17" s="125"/>
      <c r="L17" s="76"/>
      <c r="M17" s="76"/>
      <c r="N17" s="28"/>
    </row>
    <row r="18" spans="1:14" ht="19.8" thickBot="1">
      <c r="A18" s="2"/>
      <c r="B18" s="46">
        <v>2.13</v>
      </c>
      <c r="C18" s="47" t="s">
        <v>37</v>
      </c>
      <c r="D18" s="104">
        <f>607.5</f>
        <v>607.5</v>
      </c>
      <c r="E18" s="82">
        <f>34260.97+29750.83+607.5</f>
        <v>64619.3</v>
      </c>
      <c r="F18" s="82">
        <f t="shared" si="0"/>
        <v>-619.3000000000029</v>
      </c>
      <c r="G18" s="114">
        <v>64000</v>
      </c>
      <c r="H18" s="7"/>
      <c r="I18" s="41" t="s">
        <v>82</v>
      </c>
      <c r="J18" s="71"/>
      <c r="K18" s="126">
        <f>SUM(K19:K31)</f>
        <v>1131744</v>
      </c>
      <c r="L18" s="43">
        <f>SUM(L19:L31)</f>
        <v>4214610.05</v>
      </c>
      <c r="M18" s="43">
        <f>N18-L18</f>
        <v>1151954</v>
      </c>
      <c r="N18" s="30">
        <f>SUM(N19:N27)</f>
        <v>5366564.05</v>
      </c>
    </row>
    <row r="19" spans="1:14" ht="19.2" thickTop="1">
      <c r="A19" s="2"/>
      <c r="B19" s="46">
        <v>2.14</v>
      </c>
      <c r="C19" s="47" t="s">
        <v>44</v>
      </c>
      <c r="D19" s="104">
        <f>66526.78</f>
        <v>66526.78</v>
      </c>
      <c r="E19" s="82">
        <f>285745.8+241242.84+66526.78</f>
        <v>593515.42</v>
      </c>
      <c r="F19" s="82">
        <f t="shared" si="0"/>
        <v>65284.57999999996</v>
      </c>
      <c r="G19" s="114">
        <v>658800</v>
      </c>
      <c r="H19" s="26"/>
      <c r="I19" s="37" t="s">
        <v>70</v>
      </c>
      <c r="J19" s="72"/>
      <c r="K19" s="127">
        <f>614900+20000</f>
        <v>634900</v>
      </c>
      <c r="L19" s="38">
        <f>450000+60000+614900+75000+614900+20000+634900</f>
        <v>2469700</v>
      </c>
      <c r="M19" s="53">
        <f aca="true" t="shared" si="2" ref="M19:M27">N19-L19</f>
        <v>599900</v>
      </c>
      <c r="N19" s="29">
        <v>3069600</v>
      </c>
    </row>
    <row r="20" spans="1:14" ht="18.6">
      <c r="A20" s="2"/>
      <c r="B20" s="46">
        <v>2.21</v>
      </c>
      <c r="C20" s="47" t="s">
        <v>49</v>
      </c>
      <c r="D20" s="104">
        <f>0</f>
        <v>0</v>
      </c>
      <c r="E20" s="82">
        <f>237.5</f>
        <v>237.5</v>
      </c>
      <c r="F20" s="82">
        <f t="shared" si="0"/>
        <v>21362.5</v>
      </c>
      <c r="G20" s="114">
        <v>21600</v>
      </c>
      <c r="H20" s="26"/>
      <c r="I20" s="37" t="s">
        <v>71</v>
      </c>
      <c r="J20" s="72"/>
      <c r="K20" s="127">
        <f>425000</f>
        <v>425000</v>
      </c>
      <c r="L20" s="38">
        <f>200000+425000+425000+425000</f>
        <v>1475000</v>
      </c>
      <c r="M20" s="53">
        <f t="shared" si="2"/>
        <v>425000</v>
      </c>
      <c r="N20" s="29">
        <v>1900000</v>
      </c>
    </row>
    <row r="21" spans="1:19" ht="18.6">
      <c r="A21" s="2"/>
      <c r="B21" s="46">
        <v>2.31</v>
      </c>
      <c r="C21" s="47" t="s">
        <v>0</v>
      </c>
      <c r="D21" s="104">
        <f>15542.3</f>
        <v>15542.3</v>
      </c>
      <c r="E21" s="82">
        <f>4513.85+39446.8+15542.3</f>
        <v>59502.95</v>
      </c>
      <c r="F21" s="82">
        <f t="shared" si="0"/>
        <v>80897.05</v>
      </c>
      <c r="G21" s="114">
        <v>140400</v>
      </c>
      <c r="H21" s="7"/>
      <c r="I21" s="37" t="s">
        <v>72</v>
      </c>
      <c r="J21" s="72"/>
      <c r="K21" s="127">
        <f>15000</f>
        <v>15000</v>
      </c>
      <c r="L21" s="38">
        <f>10000+15000+15000+15000</f>
        <v>55000</v>
      </c>
      <c r="M21" s="53">
        <f t="shared" si="2"/>
        <v>15000</v>
      </c>
      <c r="N21" s="29">
        <v>70000</v>
      </c>
      <c r="Q21" s="87"/>
      <c r="R21" s="87"/>
      <c r="S21" s="87"/>
    </row>
    <row r="22" spans="1:19" ht="18.6">
      <c r="A22" s="2"/>
      <c r="B22" s="46">
        <v>2.32</v>
      </c>
      <c r="C22" s="47" t="s">
        <v>38</v>
      </c>
      <c r="D22" s="104">
        <f>14.5</f>
        <v>14.5</v>
      </c>
      <c r="E22" s="82">
        <f>24038+14.5</f>
        <v>24052.5</v>
      </c>
      <c r="F22" s="82">
        <f t="shared" si="0"/>
        <v>24547.5</v>
      </c>
      <c r="G22" s="114">
        <v>48600</v>
      </c>
      <c r="H22" s="7"/>
      <c r="I22" s="37" t="s">
        <v>86</v>
      </c>
      <c r="J22" s="72"/>
      <c r="K22" s="127"/>
      <c r="L22" s="38">
        <f>318.1+234.4</f>
        <v>552.5</v>
      </c>
      <c r="M22" s="53">
        <f t="shared" si="2"/>
        <v>0</v>
      </c>
      <c r="N22" s="29">
        <f>L22</f>
        <v>552.5</v>
      </c>
      <c r="O22" s="37"/>
      <c r="P22" s="83"/>
      <c r="Q22" s="88"/>
      <c r="R22" s="88"/>
      <c r="S22" s="88"/>
    </row>
    <row r="23" spans="1:19" ht="18.6">
      <c r="A23" s="2"/>
      <c r="B23" s="46">
        <v>2.33</v>
      </c>
      <c r="C23" s="47" t="s">
        <v>1</v>
      </c>
      <c r="D23" s="104">
        <f>36541.68</f>
        <v>36541.68</v>
      </c>
      <c r="E23" s="82">
        <f>432+7658.2+36541.68</f>
        <v>44631.88</v>
      </c>
      <c r="F23" s="82">
        <f t="shared" si="0"/>
        <v>82368.12</v>
      </c>
      <c r="G23" s="114">
        <v>127000</v>
      </c>
      <c r="H23" s="7"/>
      <c r="I23" s="37" t="s">
        <v>81</v>
      </c>
      <c r="J23" s="72"/>
      <c r="K23" s="127"/>
      <c r="L23" s="38">
        <v>32011.55</v>
      </c>
      <c r="M23" s="53">
        <f t="shared" si="2"/>
        <v>0</v>
      </c>
      <c r="N23" s="29">
        <v>32011.55</v>
      </c>
      <c r="O23" s="37"/>
      <c r="P23" s="83"/>
      <c r="Q23" s="88"/>
      <c r="R23" s="88"/>
      <c r="S23" s="88"/>
    </row>
    <row r="24" spans="1:19" ht="18.6">
      <c r="A24" s="2"/>
      <c r="B24" s="46">
        <v>2.41</v>
      </c>
      <c r="C24" s="47" t="s">
        <v>55</v>
      </c>
      <c r="D24" s="104">
        <f>15255.4</f>
        <v>15255.4</v>
      </c>
      <c r="E24" s="82">
        <f>15255.4</f>
        <v>15255.4</v>
      </c>
      <c r="F24" s="82">
        <f t="shared" si="0"/>
        <v>49544.6</v>
      </c>
      <c r="G24" s="114">
        <v>64800</v>
      </c>
      <c r="H24" s="7"/>
      <c r="I24" s="37" t="s">
        <v>73</v>
      </c>
      <c r="J24" s="72"/>
      <c r="K24" s="127">
        <f>56844</f>
        <v>56844</v>
      </c>
      <c r="L24" s="38">
        <f>54288+56814+56844</f>
        <v>167946</v>
      </c>
      <c r="M24" s="53">
        <f t="shared" si="2"/>
        <v>52054</v>
      </c>
      <c r="N24" s="29">
        <v>220000</v>
      </c>
      <c r="O24" s="37"/>
      <c r="P24" s="83"/>
      <c r="Q24" s="88"/>
      <c r="R24" s="88"/>
      <c r="S24" s="88"/>
    </row>
    <row r="25" spans="1:19" ht="18.6">
      <c r="A25" s="2"/>
      <c r="B25" s="46">
        <v>2.42</v>
      </c>
      <c r="C25" s="47" t="s">
        <v>2</v>
      </c>
      <c r="D25" s="104">
        <f>35486.1</f>
        <v>35486.1</v>
      </c>
      <c r="E25" s="82">
        <f>16216.2+13143.2+35486.1</f>
        <v>64845.5</v>
      </c>
      <c r="F25" s="82">
        <f t="shared" si="0"/>
        <v>4254.5</v>
      </c>
      <c r="G25" s="114">
        <v>69100</v>
      </c>
      <c r="H25" s="7"/>
      <c r="I25" s="37" t="s">
        <v>84</v>
      </c>
      <c r="J25" s="77"/>
      <c r="K25" s="128"/>
      <c r="L25" s="38">
        <f>8720+5680</f>
        <v>14400</v>
      </c>
      <c r="M25" s="38">
        <f t="shared" si="2"/>
        <v>0</v>
      </c>
      <c r="N25" s="113">
        <v>14400</v>
      </c>
      <c r="O25" s="37"/>
      <c r="P25" s="83"/>
      <c r="Q25" s="88"/>
      <c r="R25" s="88"/>
      <c r="S25" s="88"/>
    </row>
    <row r="26" spans="1:19" ht="18.6">
      <c r="A26" s="2"/>
      <c r="B26" s="46">
        <v>2.61</v>
      </c>
      <c r="C26" s="47" t="s">
        <v>56</v>
      </c>
      <c r="D26" s="104">
        <f>0</f>
        <v>0</v>
      </c>
      <c r="E26" s="82">
        <v>0</v>
      </c>
      <c r="F26" s="82">
        <f t="shared" si="0"/>
        <v>64800</v>
      </c>
      <c r="G26" s="114">
        <v>64800</v>
      </c>
      <c r="H26" s="7"/>
      <c r="I26" s="37" t="s">
        <v>85</v>
      </c>
      <c r="J26" s="77"/>
      <c r="K26" s="128"/>
      <c r="L26" s="38"/>
      <c r="M26" s="38">
        <f t="shared" si="2"/>
        <v>15000</v>
      </c>
      <c r="N26" s="113">
        <v>15000</v>
      </c>
      <c r="O26" s="37"/>
      <c r="P26" s="83"/>
      <c r="Q26" s="88"/>
      <c r="R26" s="88"/>
      <c r="S26" s="88"/>
    </row>
    <row r="27" spans="1:19" ht="18.6">
      <c r="A27" s="2"/>
      <c r="B27" s="46">
        <v>2.62</v>
      </c>
      <c r="C27" s="47" t="s">
        <v>39</v>
      </c>
      <c r="D27" s="104">
        <f>30265.55</f>
        <v>30265.55</v>
      </c>
      <c r="E27" s="82">
        <f>1544.4+30265.55</f>
        <v>31809.95</v>
      </c>
      <c r="F27" s="82">
        <f t="shared" si="0"/>
        <v>32990.05</v>
      </c>
      <c r="G27" s="114">
        <v>64800</v>
      </c>
      <c r="H27" s="7"/>
      <c r="I27" s="37" t="s">
        <v>87</v>
      </c>
      <c r="J27" s="77"/>
      <c r="K27" s="128"/>
      <c r="L27" s="38"/>
      <c r="M27" s="38">
        <f t="shared" si="2"/>
        <v>45000</v>
      </c>
      <c r="N27" s="113">
        <v>45000</v>
      </c>
      <c r="O27" s="37"/>
      <c r="P27" s="83"/>
      <c r="Q27" s="88"/>
      <c r="R27" s="88"/>
      <c r="S27" s="88"/>
    </row>
    <row r="28" spans="1:19" ht="18.9" customHeight="1" thickBot="1">
      <c r="A28" s="2"/>
      <c r="B28" s="44" t="s">
        <v>17</v>
      </c>
      <c r="C28" s="45"/>
      <c r="D28" s="105">
        <f>SUM(D29:D39)</f>
        <v>119037.60000000002</v>
      </c>
      <c r="E28" s="95">
        <f>SUM(E29:E39)</f>
        <v>371894.08</v>
      </c>
      <c r="F28" s="95">
        <f t="shared" si="0"/>
        <v>471705.92</v>
      </c>
      <c r="G28" s="112">
        <f>SUM(G29:G39)</f>
        <v>843600</v>
      </c>
      <c r="H28" s="7"/>
      <c r="I28" s="37"/>
      <c r="J28" s="72"/>
      <c r="K28" s="127"/>
      <c r="L28" s="38"/>
      <c r="M28" s="38"/>
      <c r="N28" s="29"/>
      <c r="Q28" s="87"/>
      <c r="R28" s="87"/>
      <c r="S28" s="87"/>
    </row>
    <row r="29" spans="1:19" ht="18.9" customHeight="1" thickTop="1">
      <c r="A29" s="2"/>
      <c r="B29" s="69">
        <v>3.1</v>
      </c>
      <c r="C29" s="47" t="s">
        <v>50</v>
      </c>
      <c r="D29" s="104">
        <f>0</f>
        <v>0</v>
      </c>
      <c r="E29" s="54">
        <f>35434.5</f>
        <v>35434.5</v>
      </c>
      <c r="F29" s="54">
        <f t="shared" si="0"/>
        <v>18565.5</v>
      </c>
      <c r="G29" s="114">
        <v>54000</v>
      </c>
      <c r="H29" s="7"/>
      <c r="I29" s="37"/>
      <c r="J29" s="72"/>
      <c r="K29" s="127"/>
      <c r="L29" s="38"/>
      <c r="M29" s="38"/>
      <c r="N29" s="29"/>
      <c r="Q29" s="87"/>
      <c r="R29" s="87"/>
      <c r="S29" s="87"/>
    </row>
    <row r="30" spans="1:14" ht="18" customHeight="1">
      <c r="A30" s="2"/>
      <c r="B30" s="46">
        <v>3.11</v>
      </c>
      <c r="C30" s="47" t="s">
        <v>3</v>
      </c>
      <c r="D30" s="104">
        <v>828</v>
      </c>
      <c r="E30" s="82">
        <f>9070+21867.15+828</f>
        <v>31765.15</v>
      </c>
      <c r="F30" s="82">
        <f t="shared" si="0"/>
        <v>11434.849999999999</v>
      </c>
      <c r="G30" s="114">
        <v>43200</v>
      </c>
      <c r="H30" s="7"/>
      <c r="I30" s="37"/>
      <c r="J30" s="72"/>
      <c r="K30" s="127"/>
      <c r="L30" s="38"/>
      <c r="M30" s="38"/>
      <c r="N30" s="29"/>
    </row>
    <row r="31" spans="1:14" ht="18.6">
      <c r="A31" s="2"/>
      <c r="B31" s="46">
        <v>3.12</v>
      </c>
      <c r="C31" s="47" t="s">
        <v>4</v>
      </c>
      <c r="D31" s="104">
        <f>280.8</f>
        <v>280.8</v>
      </c>
      <c r="E31" s="82">
        <f>561.6+280.8</f>
        <v>842.4000000000001</v>
      </c>
      <c r="F31" s="82">
        <f t="shared" si="0"/>
        <v>32157.6</v>
      </c>
      <c r="G31" s="114">
        <v>33000</v>
      </c>
      <c r="H31" s="7"/>
      <c r="I31" s="37"/>
      <c r="J31" s="72"/>
      <c r="K31" s="127"/>
      <c r="L31" s="38"/>
      <c r="M31" s="38"/>
      <c r="N31" s="29"/>
    </row>
    <row r="32" spans="1:14" ht="19.8" thickBot="1">
      <c r="A32" s="2"/>
      <c r="B32" s="46">
        <v>3.21</v>
      </c>
      <c r="C32" s="47" t="s">
        <v>34</v>
      </c>
      <c r="D32" s="104">
        <f>79110.82</f>
        <v>79110.82</v>
      </c>
      <c r="E32" s="82">
        <f>825+38732.3+32360.48+79110.82</f>
        <v>151028.6</v>
      </c>
      <c r="F32" s="82">
        <f t="shared" si="0"/>
        <v>81171.4</v>
      </c>
      <c r="G32" s="114">
        <v>232200</v>
      </c>
      <c r="H32" s="7"/>
      <c r="I32" s="41" t="s">
        <v>83</v>
      </c>
      <c r="J32" s="71"/>
      <c r="K32" s="126">
        <f>SUM(K33:K40)</f>
        <v>360000</v>
      </c>
      <c r="L32" s="43">
        <f>SUM(L33:L40)</f>
        <v>751900</v>
      </c>
      <c r="M32" s="43">
        <f>N32-L32</f>
        <v>471100</v>
      </c>
      <c r="N32" s="30">
        <f>SUM(N33:N37)</f>
        <v>1223000</v>
      </c>
    </row>
    <row r="33" spans="1:14" ht="19.2" thickTop="1">
      <c r="A33" s="2"/>
      <c r="B33" s="46">
        <v>3.22</v>
      </c>
      <c r="C33" s="47" t="s">
        <v>5</v>
      </c>
      <c r="D33" s="104">
        <f>28910.18</f>
        <v>28910.18</v>
      </c>
      <c r="E33" s="82">
        <f>3853.22+35322.07+28910.18</f>
        <v>68085.47</v>
      </c>
      <c r="F33" s="82">
        <f t="shared" si="0"/>
        <v>142514.53</v>
      </c>
      <c r="G33" s="114">
        <v>210600</v>
      </c>
      <c r="H33" s="7"/>
      <c r="I33" s="37" t="s">
        <v>75</v>
      </c>
      <c r="J33" s="72"/>
      <c r="K33" s="127">
        <f>200000</f>
        <v>200000</v>
      </c>
      <c r="L33" s="38">
        <f>200000+200000</f>
        <v>400000</v>
      </c>
      <c r="M33" s="53">
        <f aca="true" t="shared" si="3" ref="M33:M37">N33-L33</f>
        <v>200000</v>
      </c>
      <c r="N33" s="29">
        <v>600000</v>
      </c>
    </row>
    <row r="34" spans="1:14" ht="18.6">
      <c r="A34" s="2"/>
      <c r="B34" s="46">
        <v>3.23</v>
      </c>
      <c r="C34" s="47" t="s">
        <v>6</v>
      </c>
      <c r="D34" s="104">
        <f>0</f>
        <v>0</v>
      </c>
      <c r="E34" s="82">
        <f>750.75</f>
        <v>750.75</v>
      </c>
      <c r="F34" s="82">
        <f t="shared" si="0"/>
        <v>32249.25</v>
      </c>
      <c r="G34" s="114">
        <v>33000</v>
      </c>
      <c r="H34" s="7"/>
      <c r="I34" s="37" t="s">
        <v>76</v>
      </c>
      <c r="J34" s="72"/>
      <c r="K34" s="127"/>
      <c r="L34" s="38">
        <f>23100+3800</f>
        <v>26900</v>
      </c>
      <c r="M34" s="53">
        <f t="shared" si="3"/>
        <v>21100</v>
      </c>
      <c r="N34" s="29">
        <v>48000</v>
      </c>
    </row>
    <row r="35" spans="1:14" ht="18.6">
      <c r="A35" s="2"/>
      <c r="B35" s="46">
        <v>3.24</v>
      </c>
      <c r="C35" s="47" t="s">
        <v>7</v>
      </c>
      <c r="D35" s="104">
        <f>307.8</f>
        <v>307.8</v>
      </c>
      <c r="E35" s="54">
        <f>1161+7923.61+307.8+11009.8</f>
        <v>20402.21</v>
      </c>
      <c r="F35" s="54">
        <f t="shared" si="0"/>
        <v>28197.79</v>
      </c>
      <c r="G35" s="114">
        <v>48600</v>
      </c>
      <c r="H35" s="7"/>
      <c r="I35" s="37" t="s">
        <v>77</v>
      </c>
      <c r="J35" s="72"/>
      <c r="K35" s="127">
        <f>10000</f>
        <v>10000</v>
      </c>
      <c r="L35" s="38">
        <f>15000+10000</f>
        <v>25000</v>
      </c>
      <c r="M35" s="53">
        <f t="shared" si="3"/>
        <v>0</v>
      </c>
      <c r="N35" s="29">
        <v>25000</v>
      </c>
    </row>
    <row r="36" spans="1:14" ht="18.6">
      <c r="A36" s="2"/>
      <c r="B36" s="46">
        <v>3.25</v>
      </c>
      <c r="C36" s="47" t="s">
        <v>57</v>
      </c>
      <c r="D36" s="104">
        <f>0</f>
        <v>0</v>
      </c>
      <c r="E36" s="54">
        <v>0</v>
      </c>
      <c r="F36" s="54">
        <f t="shared" si="0"/>
        <v>59400</v>
      </c>
      <c r="G36" s="114">
        <v>59400</v>
      </c>
      <c r="H36" s="7"/>
      <c r="I36" s="37" t="s">
        <v>78</v>
      </c>
      <c r="J36" s="72"/>
      <c r="K36" s="127">
        <f>50000</f>
        <v>50000</v>
      </c>
      <c r="L36" s="38">
        <f>50000+50000</f>
        <v>100000</v>
      </c>
      <c r="M36" s="53">
        <f t="shared" si="3"/>
        <v>50000</v>
      </c>
      <c r="N36" s="29">
        <v>150000</v>
      </c>
    </row>
    <row r="37" spans="1:14" ht="18.6">
      <c r="A37" s="2"/>
      <c r="B37" s="46">
        <v>3.31</v>
      </c>
      <c r="C37" s="47" t="s">
        <v>58</v>
      </c>
      <c r="D37" s="104">
        <v>0</v>
      </c>
      <c r="E37" s="54">
        <v>0</v>
      </c>
      <c r="F37" s="54">
        <f t="shared" si="0"/>
        <v>32400</v>
      </c>
      <c r="G37" s="114">
        <v>32400</v>
      </c>
      <c r="H37" s="7"/>
      <c r="I37" s="37" t="s">
        <v>79</v>
      </c>
      <c r="J37" s="72"/>
      <c r="K37" s="127">
        <f>100000</f>
        <v>100000</v>
      </c>
      <c r="L37" s="38">
        <f>100000+100000</f>
        <v>200000</v>
      </c>
      <c r="M37" s="53">
        <f t="shared" si="3"/>
        <v>200000</v>
      </c>
      <c r="N37" s="29">
        <v>400000</v>
      </c>
    </row>
    <row r="38" spans="1:14" ht="18.6">
      <c r="A38" s="2"/>
      <c r="B38" s="46">
        <v>3.41</v>
      </c>
      <c r="C38" s="47" t="s">
        <v>8</v>
      </c>
      <c r="D38" s="104">
        <f>2275.6</f>
        <v>2275.6</v>
      </c>
      <c r="E38" s="54">
        <f>227.5+35296.9+2275.6</f>
        <v>37800</v>
      </c>
      <c r="F38" s="54">
        <f t="shared" si="0"/>
        <v>5400</v>
      </c>
      <c r="G38" s="114">
        <v>43200</v>
      </c>
      <c r="H38" s="7"/>
      <c r="I38" s="37"/>
      <c r="J38" s="72"/>
      <c r="K38" s="127"/>
      <c r="L38" s="38"/>
      <c r="M38" s="38"/>
      <c r="N38" s="29"/>
    </row>
    <row r="39" spans="1:14" ht="18.6">
      <c r="A39" s="2"/>
      <c r="B39" s="46">
        <v>3.42</v>
      </c>
      <c r="C39" s="47" t="s">
        <v>40</v>
      </c>
      <c r="D39" s="104">
        <f>7324.4</f>
        <v>7324.4</v>
      </c>
      <c r="E39" s="54">
        <f>18460.6+7324.4</f>
        <v>25785</v>
      </c>
      <c r="F39" s="54">
        <f t="shared" si="0"/>
        <v>28215</v>
      </c>
      <c r="G39" s="114">
        <v>54000</v>
      </c>
      <c r="H39" s="7"/>
      <c r="I39" s="37"/>
      <c r="J39" s="72"/>
      <c r="K39" s="127"/>
      <c r="L39" s="38"/>
      <c r="M39" s="38"/>
      <c r="N39" s="29"/>
    </row>
    <row r="40" spans="1:14" ht="18.9" customHeight="1" thickBot="1">
      <c r="A40" s="2"/>
      <c r="B40" s="44" t="s">
        <v>18</v>
      </c>
      <c r="C40" s="45"/>
      <c r="D40" s="105">
        <f>SUM(D41:D49)</f>
        <v>206346.72</v>
      </c>
      <c r="E40" s="95">
        <f>SUM(E41:E49)</f>
        <v>437858.69999999995</v>
      </c>
      <c r="F40" s="95">
        <f t="shared" si="0"/>
        <v>399241.30000000005</v>
      </c>
      <c r="G40" s="112">
        <f>SUM(G41:G49)</f>
        <v>837100</v>
      </c>
      <c r="H40" s="7"/>
      <c r="I40" s="37"/>
      <c r="J40" s="72"/>
      <c r="K40" s="127"/>
      <c r="L40" s="38"/>
      <c r="M40" s="38"/>
      <c r="N40" s="29"/>
    </row>
    <row r="41" spans="1:14" ht="18" customHeight="1" thickBot="1" thickTop="1">
      <c r="A41" s="2"/>
      <c r="B41" s="46">
        <v>4.11</v>
      </c>
      <c r="C41" s="47" t="s">
        <v>9</v>
      </c>
      <c r="D41" s="104">
        <f>39906.8</f>
        <v>39906.8</v>
      </c>
      <c r="E41" s="54">
        <f>27461.7+18735.65+40732.3+39906.8</f>
        <v>126836.45000000001</v>
      </c>
      <c r="F41" s="54">
        <f t="shared" si="0"/>
        <v>128563.54999999999</v>
      </c>
      <c r="G41" s="114">
        <v>255400</v>
      </c>
      <c r="H41" s="7"/>
      <c r="I41" s="41" t="s">
        <v>74</v>
      </c>
      <c r="J41" s="71"/>
      <c r="K41" s="126"/>
      <c r="L41" s="75">
        <f>SUM(L42:L46)</f>
        <v>94900.89</v>
      </c>
      <c r="M41" s="75"/>
      <c r="N41" s="30"/>
    </row>
    <row r="42" spans="1:14" ht="18" customHeight="1" thickTop="1">
      <c r="A42" s="2"/>
      <c r="B42" s="46">
        <v>4.12</v>
      </c>
      <c r="C42" s="47" t="s">
        <v>51</v>
      </c>
      <c r="D42" s="104">
        <f>33143.92</f>
        <v>33143.92</v>
      </c>
      <c r="E42" s="54">
        <f>8716.85+33143.92</f>
        <v>41860.77</v>
      </c>
      <c r="F42" s="54">
        <f t="shared" si="0"/>
        <v>1339.2300000000032</v>
      </c>
      <c r="G42" s="114">
        <v>43200</v>
      </c>
      <c r="H42" s="7"/>
      <c r="I42" s="37" t="s">
        <v>80</v>
      </c>
      <c r="J42" s="72"/>
      <c r="K42" s="124"/>
      <c r="L42" s="38">
        <f>94900.89</f>
        <v>94900.89</v>
      </c>
      <c r="M42" s="38"/>
      <c r="N42" s="31"/>
    </row>
    <row r="43" spans="1:14" ht="18" customHeight="1">
      <c r="A43" s="2"/>
      <c r="B43" s="46">
        <v>4.21</v>
      </c>
      <c r="C43" s="47" t="s">
        <v>41</v>
      </c>
      <c r="D43" s="104">
        <f>10829.8</f>
        <v>10829.8</v>
      </c>
      <c r="E43" s="54">
        <f>2106+10829.8</f>
        <v>12935.8</v>
      </c>
      <c r="F43" s="54">
        <f t="shared" si="0"/>
        <v>35664.2</v>
      </c>
      <c r="G43" s="114">
        <v>48600</v>
      </c>
      <c r="H43" s="7"/>
      <c r="I43" s="37"/>
      <c r="J43" s="72"/>
      <c r="K43" s="127"/>
      <c r="L43" s="38"/>
      <c r="M43" s="38"/>
      <c r="N43" s="29"/>
    </row>
    <row r="44" spans="1:14" ht="18.6">
      <c r="A44" s="2"/>
      <c r="B44" s="46">
        <v>4.22</v>
      </c>
      <c r="C44" s="47" t="s">
        <v>10</v>
      </c>
      <c r="D44" s="104">
        <f>23961.5</f>
        <v>23961.5</v>
      </c>
      <c r="E44" s="54">
        <f>2737.8+5765+23961.5</f>
        <v>32464.3</v>
      </c>
      <c r="F44" s="54">
        <f t="shared" si="0"/>
        <v>30035.7</v>
      </c>
      <c r="G44" s="114">
        <v>62500</v>
      </c>
      <c r="H44" s="7"/>
      <c r="I44" s="37"/>
      <c r="J44" s="72"/>
      <c r="K44" s="127"/>
      <c r="L44" s="38"/>
      <c r="M44" s="38"/>
      <c r="N44" s="29"/>
    </row>
    <row r="45" spans="1:14" ht="18.6">
      <c r="A45" s="2"/>
      <c r="B45" s="46">
        <v>4.23</v>
      </c>
      <c r="C45" s="47" t="s">
        <v>11</v>
      </c>
      <c r="D45" s="104">
        <f>12312.2</f>
        <v>12312.2</v>
      </c>
      <c r="E45" s="54">
        <f>10842.4+12154.4+12312.2</f>
        <v>35309</v>
      </c>
      <c r="F45" s="54">
        <f t="shared" si="0"/>
        <v>-2909</v>
      </c>
      <c r="G45" s="114">
        <v>32400</v>
      </c>
      <c r="H45" s="7"/>
      <c r="I45" s="37"/>
      <c r="J45" s="72"/>
      <c r="K45" s="127"/>
      <c r="L45" s="38"/>
      <c r="M45" s="38"/>
      <c r="N45" s="29"/>
    </row>
    <row r="46" spans="1:14" ht="18.6">
      <c r="A46" s="2"/>
      <c r="B46" s="46">
        <v>4.24</v>
      </c>
      <c r="C46" s="47" t="s">
        <v>42</v>
      </c>
      <c r="D46" s="104">
        <f>15319</f>
        <v>15319</v>
      </c>
      <c r="E46" s="54">
        <f>6912+15319</f>
        <v>22231</v>
      </c>
      <c r="F46" s="54">
        <f t="shared" si="0"/>
        <v>74969</v>
      </c>
      <c r="G46" s="114">
        <v>97200</v>
      </c>
      <c r="H46" s="7"/>
      <c r="I46" s="37"/>
      <c r="J46" s="72"/>
      <c r="K46" s="127"/>
      <c r="L46" s="38"/>
      <c r="M46" s="38"/>
      <c r="N46" s="29"/>
    </row>
    <row r="47" spans="1:14" ht="18.6">
      <c r="A47" s="2"/>
      <c r="B47" s="46">
        <v>4.25</v>
      </c>
      <c r="C47" s="47" t="s">
        <v>12</v>
      </c>
      <c r="D47" s="104">
        <f>27531.9</f>
        <v>27531.9</v>
      </c>
      <c r="E47" s="54">
        <f>5248.8+19400.27+8385.5+27531.9</f>
        <v>60566.47</v>
      </c>
      <c r="F47" s="54">
        <f t="shared" si="0"/>
        <v>31233.53</v>
      </c>
      <c r="G47" s="114">
        <v>91800</v>
      </c>
      <c r="H47" s="7"/>
      <c r="I47" s="37"/>
      <c r="J47" s="72"/>
      <c r="K47" s="127"/>
      <c r="L47" s="38"/>
      <c r="M47" s="38"/>
      <c r="N47" s="29"/>
    </row>
    <row r="48" spans="1:14" ht="19.2">
      <c r="A48" s="2"/>
      <c r="B48" s="46">
        <v>4.31</v>
      </c>
      <c r="C48" s="47" t="s">
        <v>52</v>
      </c>
      <c r="D48" s="104">
        <f>2289.6</f>
        <v>2289.6</v>
      </c>
      <c r="E48" s="54">
        <f>982.8+2289.6</f>
        <v>3272.3999999999996</v>
      </c>
      <c r="F48" s="54">
        <f t="shared" si="0"/>
        <v>40727.6</v>
      </c>
      <c r="G48" s="114">
        <v>44000</v>
      </c>
      <c r="H48" s="7"/>
      <c r="I48" s="37"/>
      <c r="J48" s="72"/>
      <c r="K48" s="125"/>
      <c r="L48" s="49"/>
      <c r="M48" s="49"/>
      <c r="N48" s="29"/>
    </row>
    <row r="49" spans="1:14" ht="19.2">
      <c r="A49" s="2"/>
      <c r="B49" s="46">
        <v>4.32</v>
      </c>
      <c r="C49" s="47" t="s">
        <v>13</v>
      </c>
      <c r="D49" s="104">
        <f>41052</f>
        <v>41052</v>
      </c>
      <c r="E49" s="54">
        <f>34610.11+26720.4+41052</f>
        <v>102382.51000000001</v>
      </c>
      <c r="F49" s="54">
        <f t="shared" si="0"/>
        <v>59617.48999999999</v>
      </c>
      <c r="G49" s="114">
        <v>162000</v>
      </c>
      <c r="H49" s="7"/>
      <c r="I49" s="48"/>
      <c r="J49" s="73"/>
      <c r="K49" s="129"/>
      <c r="L49" s="49"/>
      <c r="M49" s="49"/>
      <c r="N49" s="31"/>
    </row>
    <row r="50" spans="1:14" ht="18.9" customHeight="1" thickBot="1">
      <c r="A50" s="2"/>
      <c r="B50" s="44" t="s">
        <v>19</v>
      </c>
      <c r="C50" s="45"/>
      <c r="D50" s="105">
        <f>SUM(D51:D60)</f>
        <v>554466.5900000001</v>
      </c>
      <c r="E50" s="52">
        <f>SUM(E51:E60)</f>
        <v>1784064.33</v>
      </c>
      <c r="F50" s="52">
        <f t="shared" si="0"/>
        <v>1042535.6699999999</v>
      </c>
      <c r="G50" s="112">
        <f>SUM(G51:G59)</f>
        <v>2826600</v>
      </c>
      <c r="H50" s="7"/>
      <c r="I50" s="37"/>
      <c r="J50" s="72"/>
      <c r="K50" s="124"/>
      <c r="L50" s="49"/>
      <c r="M50" s="49"/>
      <c r="N50" s="31"/>
    </row>
    <row r="51" spans="1:14" ht="18" customHeight="1" thickTop="1">
      <c r="A51" s="2"/>
      <c r="B51" s="55">
        <v>5.11</v>
      </c>
      <c r="C51" s="47" t="s">
        <v>26</v>
      </c>
      <c r="D51" s="104">
        <f>352250.4</f>
        <v>352250.4</v>
      </c>
      <c r="E51" s="54">
        <f>257700.95+322139.87+333286.65+352250.4</f>
        <v>1265377.87</v>
      </c>
      <c r="F51" s="54">
        <f t="shared" si="0"/>
        <v>419422.1299999999</v>
      </c>
      <c r="G51" s="114">
        <v>1684800</v>
      </c>
      <c r="H51" s="7"/>
      <c r="I51" s="37"/>
      <c r="J51" s="72"/>
      <c r="K51" s="124"/>
      <c r="L51" s="38"/>
      <c r="M51" s="38"/>
      <c r="N51" s="29"/>
    </row>
    <row r="52" spans="1:14" ht="18.6">
      <c r="A52" s="2"/>
      <c r="B52" s="46">
        <v>5.12</v>
      </c>
      <c r="C52" s="47" t="s">
        <v>27</v>
      </c>
      <c r="D52" s="104">
        <f>26737.56</f>
        <v>26737.56</v>
      </c>
      <c r="E52" s="54">
        <f>32103.85+29537.22+22240.6+26737.56</f>
        <v>110619.23</v>
      </c>
      <c r="F52" s="54">
        <f t="shared" si="0"/>
        <v>51380.770000000004</v>
      </c>
      <c r="G52" s="114">
        <v>162000</v>
      </c>
      <c r="H52" s="7"/>
      <c r="I52" s="37"/>
      <c r="J52" s="72"/>
      <c r="K52" s="124"/>
      <c r="L52" s="38"/>
      <c r="M52" s="38"/>
      <c r="N52" s="29"/>
    </row>
    <row r="53" spans="1:14" ht="18.6">
      <c r="A53" s="2"/>
      <c r="B53" s="46">
        <v>5.13</v>
      </c>
      <c r="C53" s="47" t="s">
        <v>35</v>
      </c>
      <c r="D53" s="104">
        <f>11136.65</f>
        <v>11136.65</v>
      </c>
      <c r="E53" s="54">
        <f>7551.05+11229.5+11136.65</f>
        <v>29917.199999999997</v>
      </c>
      <c r="F53" s="54">
        <f t="shared" si="0"/>
        <v>21082.800000000003</v>
      </c>
      <c r="G53" s="114">
        <v>51000</v>
      </c>
      <c r="H53" s="7"/>
      <c r="I53" s="34"/>
      <c r="J53" s="65"/>
      <c r="K53" s="122"/>
      <c r="L53" s="36"/>
      <c r="M53" s="36"/>
      <c r="N53" s="28"/>
    </row>
    <row r="54" spans="1:14" ht="18.6">
      <c r="A54" s="2"/>
      <c r="B54" s="46">
        <v>5.14</v>
      </c>
      <c r="C54" s="47" t="s">
        <v>59</v>
      </c>
      <c r="D54" s="104">
        <f>1123.2</f>
        <v>1123.2</v>
      </c>
      <c r="E54" s="54">
        <f>1123.2</f>
        <v>1123.2</v>
      </c>
      <c r="F54" s="54">
        <f t="shared" si="0"/>
        <v>52876.8</v>
      </c>
      <c r="G54" s="114">
        <v>54000</v>
      </c>
      <c r="H54" s="7"/>
      <c r="I54" s="34"/>
      <c r="J54" s="65"/>
      <c r="K54" s="122"/>
      <c r="L54" s="36"/>
      <c r="M54" s="36"/>
      <c r="N54" s="28"/>
    </row>
    <row r="55" spans="1:14" ht="19.2">
      <c r="A55" s="2"/>
      <c r="B55" s="46">
        <v>5.21</v>
      </c>
      <c r="C55" s="47" t="s">
        <v>28</v>
      </c>
      <c r="D55" s="104">
        <f>101038.53</f>
        <v>101038.53</v>
      </c>
      <c r="E55" s="54">
        <f>25896.7+48467.8+42071.17+101038.53</f>
        <v>217474.2</v>
      </c>
      <c r="F55" s="54">
        <f t="shared" si="0"/>
        <v>268525.8</v>
      </c>
      <c r="G55" s="114">
        <v>486000</v>
      </c>
      <c r="H55" s="7"/>
      <c r="I55" s="48"/>
      <c r="J55" s="72"/>
      <c r="K55" s="124"/>
      <c r="L55" s="38"/>
      <c r="M55" s="38"/>
      <c r="N55" s="29"/>
    </row>
    <row r="56" spans="1:14" ht="18.6">
      <c r="A56" s="2"/>
      <c r="B56" s="46">
        <v>5.22</v>
      </c>
      <c r="C56" s="47" t="s">
        <v>29</v>
      </c>
      <c r="D56" s="104">
        <f>12986.55</f>
        <v>12986.55</v>
      </c>
      <c r="E56" s="54">
        <f>1820+12986.55</f>
        <v>14806.55</v>
      </c>
      <c r="F56" s="54">
        <f t="shared" si="0"/>
        <v>147193.45</v>
      </c>
      <c r="G56" s="114">
        <v>162000</v>
      </c>
      <c r="H56" s="7"/>
      <c r="I56" s="37"/>
      <c r="J56" s="72"/>
      <c r="K56" s="124"/>
      <c r="L56" s="38"/>
      <c r="M56" s="38"/>
      <c r="N56" s="29"/>
    </row>
    <row r="57" spans="1:14" ht="18.6">
      <c r="A57" s="2"/>
      <c r="B57" s="46">
        <v>5.23</v>
      </c>
      <c r="C57" s="47" t="s">
        <v>30</v>
      </c>
      <c r="D57" s="104">
        <f>26295.8</f>
        <v>26295.8</v>
      </c>
      <c r="E57" s="54">
        <f>18636.9+22671.95+22619.66+26295.8</f>
        <v>90224.31000000001</v>
      </c>
      <c r="F57" s="54">
        <f t="shared" si="0"/>
        <v>17775.689999999988</v>
      </c>
      <c r="G57" s="114">
        <v>108000</v>
      </c>
      <c r="H57" s="7"/>
      <c r="I57" s="37"/>
      <c r="J57" s="72"/>
      <c r="K57" s="124"/>
      <c r="L57" s="38"/>
      <c r="M57" s="38"/>
      <c r="N57" s="29"/>
    </row>
    <row r="58" spans="1:14" ht="18.6">
      <c r="A58" s="2"/>
      <c r="B58" s="46">
        <v>5.31</v>
      </c>
      <c r="C58" s="47" t="s">
        <v>31</v>
      </c>
      <c r="D58" s="104">
        <v>0</v>
      </c>
      <c r="E58" s="54">
        <f>500.5</f>
        <v>500.5</v>
      </c>
      <c r="F58" s="54">
        <f t="shared" si="0"/>
        <v>31899.5</v>
      </c>
      <c r="G58" s="114">
        <v>32400</v>
      </c>
      <c r="H58" s="7"/>
      <c r="I58" s="37"/>
      <c r="J58" s="72"/>
      <c r="K58" s="124"/>
      <c r="L58" s="36"/>
      <c r="M58" s="36"/>
      <c r="N58" s="28"/>
    </row>
    <row r="59" spans="1:14" ht="18.6">
      <c r="A59" s="2"/>
      <c r="B59" s="46">
        <v>5.32</v>
      </c>
      <c r="C59" s="56" t="s">
        <v>14</v>
      </c>
      <c r="D59" s="104">
        <f>22897.9</f>
        <v>22897.9</v>
      </c>
      <c r="E59" s="54">
        <f>3169.4+27953.97+22897.9</f>
        <v>54021.270000000004</v>
      </c>
      <c r="F59" s="54">
        <f t="shared" si="0"/>
        <v>32378.729999999996</v>
      </c>
      <c r="G59" s="114">
        <v>86400</v>
      </c>
      <c r="H59" s="7"/>
      <c r="I59" s="37"/>
      <c r="J59" s="72"/>
      <c r="K59" s="124"/>
      <c r="L59" s="36"/>
      <c r="M59" s="36"/>
      <c r="N59" s="28"/>
    </row>
    <row r="60" spans="1:14" ht="18.6">
      <c r="A60" s="2"/>
      <c r="B60" s="46"/>
      <c r="C60" s="56"/>
      <c r="D60" s="104"/>
      <c r="E60" s="54"/>
      <c r="F60" s="54">
        <f t="shared" si="0"/>
        <v>0</v>
      </c>
      <c r="G60" s="114"/>
      <c r="H60" s="7"/>
      <c r="I60" s="37"/>
      <c r="J60" s="83"/>
      <c r="K60" s="124"/>
      <c r="L60" s="36"/>
      <c r="M60" s="36"/>
      <c r="N60" s="114"/>
    </row>
    <row r="61" spans="1:14" ht="19.8" thickBot="1">
      <c r="A61" s="2"/>
      <c r="B61" s="44" t="s">
        <v>61</v>
      </c>
      <c r="C61" s="86"/>
      <c r="D61" s="105">
        <f>SUM(D7+D15+D28+D40+D50)</f>
        <v>1241290.4100000001</v>
      </c>
      <c r="E61" s="52">
        <f>(E7+E15+E28+E40+E50)</f>
        <v>3955751.97</v>
      </c>
      <c r="F61" s="52">
        <f t="shared" si="0"/>
        <v>2618448.03</v>
      </c>
      <c r="G61" s="112">
        <f>G7+G15+G28+G40+G50</f>
        <v>6574200</v>
      </c>
      <c r="H61" s="7"/>
      <c r="I61" s="41" t="s">
        <v>63</v>
      </c>
      <c r="J61" s="42"/>
      <c r="K61" s="123">
        <f>SUM(K7+K10+K18+K32+K41)</f>
        <v>1503329.5</v>
      </c>
      <c r="L61" s="40">
        <f>L7+L10+L18+L32+L41</f>
        <v>5107399.14</v>
      </c>
      <c r="M61" s="40"/>
      <c r="N61" s="112">
        <f>N7+N10+N18+N32</f>
        <v>6635552.25</v>
      </c>
    </row>
    <row r="62" spans="1:14" ht="14.1" customHeight="1" thickTop="1">
      <c r="A62" s="2"/>
      <c r="B62" s="46"/>
      <c r="C62" s="56"/>
      <c r="D62" s="104"/>
      <c r="E62" s="54"/>
      <c r="F62" s="36"/>
      <c r="G62" s="114"/>
      <c r="H62" s="7"/>
      <c r="I62" s="37"/>
      <c r="J62" s="83"/>
      <c r="K62" s="124"/>
      <c r="L62" s="36"/>
      <c r="M62" s="36"/>
      <c r="N62" s="114"/>
    </row>
    <row r="63" spans="1:14" ht="19.8" thickBot="1">
      <c r="A63" s="2"/>
      <c r="B63" s="70">
        <v>6.11</v>
      </c>
      <c r="C63" s="45" t="s">
        <v>62</v>
      </c>
      <c r="D63" s="105">
        <v>11894.05</v>
      </c>
      <c r="E63" s="57">
        <f>28713.52+11894.05</f>
        <v>40607.57</v>
      </c>
      <c r="F63" s="81"/>
      <c r="G63" s="115">
        <f>E63</f>
        <v>40607.57</v>
      </c>
      <c r="H63" s="7"/>
      <c r="I63" s="70" t="s">
        <v>92</v>
      </c>
      <c r="J63" s="45"/>
      <c r="K63" s="105">
        <f>5736+6158.05</f>
        <v>11894.05</v>
      </c>
      <c r="L63" s="57">
        <f>28713.52+K63</f>
        <v>40607.57</v>
      </c>
      <c r="M63" s="81"/>
      <c r="N63" s="115">
        <f>L63</f>
        <v>40607.57</v>
      </c>
    </row>
    <row r="64" spans="1:14" ht="15" customHeight="1" thickTop="1">
      <c r="A64" s="2"/>
      <c r="B64" s="94"/>
      <c r="C64" s="78"/>
      <c r="D64" s="106"/>
      <c r="E64" s="79"/>
      <c r="F64" s="80"/>
      <c r="G64" s="116"/>
      <c r="H64" s="7"/>
      <c r="I64" s="37"/>
      <c r="J64" s="72"/>
      <c r="K64" s="124"/>
      <c r="L64" s="36"/>
      <c r="M64" s="36"/>
      <c r="N64" s="28"/>
    </row>
    <row r="65" spans="1:14" ht="19.8" thickBot="1">
      <c r="A65" s="2"/>
      <c r="B65" s="96">
        <v>290</v>
      </c>
      <c r="C65" s="39" t="s">
        <v>93</v>
      </c>
      <c r="D65" s="103">
        <v>262039.09</v>
      </c>
      <c r="E65" s="97"/>
      <c r="F65" s="98"/>
      <c r="G65" s="117"/>
      <c r="H65" s="7"/>
      <c r="I65" s="84"/>
      <c r="J65" s="89"/>
      <c r="K65" s="130"/>
      <c r="L65" s="36"/>
      <c r="M65" s="36"/>
      <c r="N65" s="28"/>
    </row>
    <row r="66" spans="1:14" ht="12.9" customHeight="1" thickTop="1">
      <c r="A66" s="2"/>
      <c r="B66" s="34"/>
      <c r="C66" s="35"/>
      <c r="D66" s="107"/>
      <c r="E66" s="58"/>
      <c r="F66" s="59"/>
      <c r="G66" s="118"/>
      <c r="H66" s="7"/>
      <c r="I66" s="34"/>
      <c r="J66" s="65"/>
      <c r="K66" s="122"/>
      <c r="L66" s="36"/>
      <c r="M66" s="36"/>
      <c r="N66" s="28"/>
    </row>
    <row r="67" spans="1:14" ht="19.2">
      <c r="A67" s="2"/>
      <c r="B67" s="84" t="s">
        <v>20</v>
      </c>
      <c r="C67" s="85"/>
      <c r="D67" s="108">
        <f>D61+D63+D65</f>
        <v>1515223.5500000003</v>
      </c>
      <c r="E67" s="58"/>
      <c r="F67" s="59"/>
      <c r="G67" s="118"/>
      <c r="H67" s="7"/>
      <c r="I67" s="84" t="s">
        <v>21</v>
      </c>
      <c r="J67" s="89"/>
      <c r="K67" s="130">
        <f>K61+K63</f>
        <v>1515223.55</v>
      </c>
      <c r="L67" s="36"/>
      <c r="M67" s="36"/>
      <c r="N67" s="28"/>
    </row>
    <row r="68" spans="1:14" ht="19.2" thickBot="1">
      <c r="A68" s="2"/>
      <c r="B68" s="34"/>
      <c r="C68" s="35"/>
      <c r="D68" s="109"/>
      <c r="E68" s="58"/>
      <c r="F68" s="59"/>
      <c r="G68" s="118"/>
      <c r="H68" s="7"/>
      <c r="I68" s="34"/>
      <c r="J68" s="65"/>
      <c r="K68" s="122"/>
      <c r="L68" s="36"/>
      <c r="M68" s="36"/>
      <c r="N68" s="28"/>
    </row>
    <row r="69" spans="1:16" ht="19.8" thickBot="1">
      <c r="A69" s="2"/>
      <c r="B69" s="60" t="s">
        <v>22</v>
      </c>
      <c r="C69" s="61"/>
      <c r="D69" s="110">
        <f>D67</f>
        <v>1515223.5500000003</v>
      </c>
      <c r="E69" s="62">
        <f>E61+E63</f>
        <v>3996359.54</v>
      </c>
      <c r="F69" s="63"/>
      <c r="G69" s="119">
        <f>SUM(G61+G63)</f>
        <v>6614807.57</v>
      </c>
      <c r="H69" s="6"/>
      <c r="I69" s="60" t="s">
        <v>23</v>
      </c>
      <c r="J69" s="74"/>
      <c r="K69" s="131">
        <f>SUM(K65+K67)</f>
        <v>1515223.55</v>
      </c>
      <c r="L69" s="63">
        <f>SUM(L7+L10+L18+L32+L41+L63)</f>
        <v>5148006.71</v>
      </c>
      <c r="M69" s="63"/>
      <c r="N69" s="32">
        <f>SUM(N7+N10+N18+N32+N63)</f>
        <v>6676159.82</v>
      </c>
      <c r="P69" s="25"/>
    </row>
    <row r="70" spans="1:14" ht="17.1" customHeight="1">
      <c r="A70" s="2"/>
      <c r="B70" s="2"/>
      <c r="C70" s="2"/>
      <c r="D70" s="3"/>
      <c r="E70" s="2"/>
      <c r="F70" s="2"/>
      <c r="G70" s="2"/>
      <c r="H70" s="2"/>
      <c r="I70" s="2"/>
      <c r="J70" s="2"/>
      <c r="K70" s="26"/>
      <c r="L70" s="2"/>
      <c r="M70" s="2"/>
      <c r="N70" s="2"/>
    </row>
    <row r="71" spans="1:15" ht="17.4">
      <c r="A71" s="2"/>
      <c r="B71" s="2" t="s">
        <v>95</v>
      </c>
      <c r="C71" s="2"/>
      <c r="D71" s="3"/>
      <c r="E71" s="2"/>
      <c r="F71" s="2"/>
      <c r="G71" s="2"/>
      <c r="H71" s="2"/>
      <c r="I71" s="2"/>
      <c r="J71" s="2"/>
      <c r="K71" s="26"/>
      <c r="L71" s="2"/>
      <c r="M71" s="2"/>
      <c r="N71" s="3"/>
      <c r="O71" s="25"/>
    </row>
    <row r="72" spans="1:14" ht="18" customHeight="1">
      <c r="A72" s="2"/>
      <c r="B72" s="2" t="s">
        <v>112</v>
      </c>
      <c r="C72" s="2"/>
      <c r="D72" s="3"/>
      <c r="E72" s="2"/>
      <c r="F72" s="2"/>
      <c r="G72" s="2"/>
      <c r="H72" s="2"/>
      <c r="I72" s="2"/>
      <c r="J72" s="2"/>
      <c r="K72" s="26"/>
      <c r="L72" s="2"/>
      <c r="M72" s="2"/>
      <c r="N72" s="3"/>
    </row>
    <row r="73" spans="2:13" ht="32.1" customHeight="1" thickBot="1">
      <c r="B73" s="2"/>
      <c r="C73" s="2"/>
      <c r="D73" s="3"/>
      <c r="E73" s="2"/>
      <c r="F73" s="2"/>
      <c r="G73" s="2"/>
      <c r="H73" s="2"/>
      <c r="I73" s="2"/>
      <c r="J73" s="2"/>
      <c r="K73" s="3"/>
      <c r="L73" s="2"/>
      <c r="M73" s="2"/>
    </row>
    <row r="74" spans="2:13" ht="56.1" customHeight="1" thickBot="1">
      <c r="B74" s="143"/>
      <c r="C74" s="157" t="s">
        <v>105</v>
      </c>
      <c r="D74" s="158"/>
      <c r="E74" s="159"/>
      <c r="F74" s="147" t="s">
        <v>109</v>
      </c>
      <c r="G74" s="2"/>
      <c r="H74" s="2"/>
      <c r="I74" s="2"/>
      <c r="J74" s="2"/>
      <c r="K74" s="3"/>
      <c r="L74" s="2"/>
      <c r="M74" s="2"/>
    </row>
    <row r="75" spans="2:13" ht="24" customHeight="1" thickBot="1">
      <c r="B75" s="143"/>
      <c r="C75" s="160">
        <v>7340000</v>
      </c>
      <c r="D75" s="161"/>
      <c r="E75" s="162"/>
      <c r="F75" s="144">
        <f>6635000+638000</f>
        <v>7273000</v>
      </c>
      <c r="G75" s="2"/>
      <c r="H75" s="2"/>
      <c r="I75" s="2"/>
      <c r="J75" s="2"/>
      <c r="K75" s="3"/>
      <c r="L75" s="2"/>
      <c r="M75" s="2"/>
    </row>
    <row r="76" spans="2:13" ht="26.1" customHeight="1">
      <c r="B76" s="133"/>
      <c r="C76" s="156" t="s">
        <v>104</v>
      </c>
      <c r="D76" s="156"/>
      <c r="E76" s="146"/>
      <c r="F76" s="145" t="s">
        <v>104</v>
      </c>
      <c r="G76" s="2"/>
      <c r="H76" s="2"/>
      <c r="I76" s="2"/>
      <c r="J76" s="2"/>
      <c r="K76" s="2"/>
      <c r="L76" s="2"/>
      <c r="M76" s="2"/>
    </row>
    <row r="77" spans="2:13" ht="15.75">
      <c r="B77" s="133"/>
      <c r="C77" s="155" t="s">
        <v>101</v>
      </c>
      <c r="D77" s="155"/>
      <c r="E77" s="133"/>
      <c r="F77" s="136" t="s">
        <v>102</v>
      </c>
      <c r="G77" s="2"/>
      <c r="H77" s="2"/>
      <c r="I77" s="2"/>
      <c r="J77" s="2"/>
      <c r="K77" s="2"/>
      <c r="L77" s="2"/>
      <c r="M77" s="2"/>
    </row>
    <row r="78" spans="2:13" ht="15.75">
      <c r="B78" s="133"/>
      <c r="C78" s="135">
        <v>2011</v>
      </c>
      <c r="D78" s="137" t="s">
        <v>96</v>
      </c>
      <c r="E78" s="138" t="s">
        <v>107</v>
      </c>
      <c r="F78" s="138" t="s">
        <v>107</v>
      </c>
      <c r="G78" s="2"/>
      <c r="H78" s="2"/>
      <c r="I78" s="2"/>
      <c r="J78" s="2"/>
      <c r="K78" s="2"/>
      <c r="L78" s="2"/>
      <c r="M78" s="2"/>
    </row>
    <row r="79" spans="2:13" ht="15.75">
      <c r="B79" s="133" t="s">
        <v>97</v>
      </c>
      <c r="C79" s="134">
        <v>450000</v>
      </c>
      <c r="D79" s="134">
        <v>2459600</v>
      </c>
      <c r="E79" s="134">
        <f>D79+C79</f>
        <v>2909600</v>
      </c>
      <c r="F79" s="134">
        <f>E79</f>
        <v>2909600</v>
      </c>
      <c r="L79" s="2"/>
      <c r="M79" s="2"/>
    </row>
    <row r="80" spans="2:11" ht="15.75">
      <c r="B80" s="133" t="s">
        <v>98</v>
      </c>
      <c r="C80" s="134">
        <v>200000</v>
      </c>
      <c r="D80" s="134">
        <v>1700000</v>
      </c>
      <c r="E80" s="134">
        <f>D80+C80</f>
        <v>1900000</v>
      </c>
      <c r="F80" s="134">
        <f>E80</f>
        <v>1900000</v>
      </c>
      <c r="G80" s="18"/>
      <c r="H80" s="18"/>
      <c r="I80" s="18"/>
      <c r="J80" s="18"/>
      <c r="K80" s="18"/>
    </row>
    <row r="81" spans="2:6" ht="15.75">
      <c r="B81" s="133" t="s">
        <v>108</v>
      </c>
      <c r="C81" s="133"/>
      <c r="D81" s="133"/>
      <c r="E81" s="133"/>
      <c r="F81" s="134">
        <f>160000+60000</f>
        <v>220000</v>
      </c>
    </row>
    <row r="82" spans="2:11" ht="15.75">
      <c r="B82" s="133" t="s">
        <v>99</v>
      </c>
      <c r="C82" s="134">
        <v>30000</v>
      </c>
      <c r="D82" s="134">
        <v>280000</v>
      </c>
      <c r="E82" s="134">
        <f aca="true" t="shared" si="4" ref="E82:E86">D82+C82</f>
        <v>310000</v>
      </c>
      <c r="F82" s="134">
        <f>320000</f>
        <v>320000</v>
      </c>
      <c r="G82" s="18"/>
      <c r="H82" s="18"/>
      <c r="I82" s="18"/>
      <c r="J82" s="18"/>
      <c r="K82" s="18"/>
    </row>
    <row r="83" spans="2:6" ht="15.75">
      <c r="B83" s="139" t="s">
        <v>106</v>
      </c>
      <c r="C83" s="134">
        <v>210000</v>
      </c>
      <c r="D83" s="134">
        <f>1040000+120000</f>
        <v>1160000</v>
      </c>
      <c r="E83" s="134">
        <f t="shared" si="4"/>
        <v>1370000</v>
      </c>
      <c r="F83" s="134">
        <f>1223000+40000+46000</f>
        <v>1309000</v>
      </c>
    </row>
    <row r="84" spans="2:11" ht="15.75">
      <c r="B84" s="139" t="s">
        <v>100</v>
      </c>
      <c r="C84" s="140">
        <v>30000</v>
      </c>
      <c r="D84" s="134">
        <v>200000</v>
      </c>
      <c r="E84" s="134">
        <f t="shared" si="4"/>
        <v>230000</v>
      </c>
      <c r="F84" s="134">
        <v>638000</v>
      </c>
      <c r="G84" s="2"/>
      <c r="H84" s="2"/>
      <c r="I84" s="2"/>
      <c r="J84" s="2"/>
      <c r="K84" s="2"/>
    </row>
    <row r="85" spans="2:6" ht="15.75">
      <c r="B85" s="141" t="s">
        <v>103</v>
      </c>
      <c r="C85" s="142">
        <v>60000</v>
      </c>
      <c r="D85" s="142">
        <v>560400</v>
      </c>
      <c r="E85" s="142">
        <f t="shared" si="4"/>
        <v>620400</v>
      </c>
      <c r="F85" s="134"/>
    </row>
    <row r="86" spans="2:14" ht="21.9" customHeight="1">
      <c r="B86" s="133"/>
      <c r="C86" s="134">
        <f>SUM(C79:C85)</f>
        <v>980000</v>
      </c>
      <c r="D86" s="134">
        <f>SUM(D79:D85)</f>
        <v>6360000</v>
      </c>
      <c r="E86" s="134">
        <f t="shared" si="4"/>
        <v>7340000</v>
      </c>
      <c r="F86" s="134">
        <f>SUM(F79:F85)</f>
        <v>7296600</v>
      </c>
      <c r="G86" s="1"/>
      <c r="H86" s="1"/>
      <c r="I86" s="19"/>
      <c r="J86" s="1"/>
      <c r="K86" s="23"/>
      <c r="L86" s="18"/>
      <c r="M86" s="18"/>
      <c r="N86" s="18"/>
    </row>
    <row r="87" spans="3:14" ht="15.75">
      <c r="C87" s="1"/>
      <c r="D87" s="132"/>
      <c r="E87" s="20"/>
      <c r="F87" s="1"/>
      <c r="G87" s="1"/>
      <c r="H87" s="1"/>
      <c r="I87" s="1"/>
      <c r="J87" s="1"/>
      <c r="K87" s="20"/>
      <c r="L87" s="18"/>
      <c r="M87" s="18"/>
      <c r="N87" s="18"/>
    </row>
    <row r="94" spans="2:14" ht="17.4">
      <c r="B94" s="16"/>
      <c r="C94" s="8"/>
      <c r="D94" s="17"/>
      <c r="E94" s="6"/>
      <c r="F94" s="6"/>
      <c r="G94" s="6"/>
      <c r="H94" s="6"/>
      <c r="I94" s="9"/>
      <c r="J94" s="9"/>
      <c r="K94" s="15"/>
      <c r="L94" s="18"/>
      <c r="M94" s="18"/>
      <c r="N94" s="18"/>
    </row>
    <row r="95" spans="2:14" ht="17.4">
      <c r="B95" s="13"/>
      <c r="C95" s="8"/>
      <c r="D95" s="14"/>
      <c r="E95" s="6"/>
      <c r="F95" s="6"/>
      <c r="G95" s="6"/>
      <c r="H95" s="6"/>
      <c r="I95" s="9"/>
      <c r="J95" s="9"/>
      <c r="K95" s="15"/>
      <c r="L95" s="18"/>
      <c r="M95" s="18"/>
      <c r="N95" s="18"/>
    </row>
    <row r="96" spans="2:14" ht="17.4">
      <c r="B96" s="13"/>
      <c r="C96" s="8"/>
      <c r="D96" s="14"/>
      <c r="E96" s="6"/>
      <c r="F96" s="6"/>
      <c r="G96" s="6"/>
      <c r="H96" s="6"/>
      <c r="I96" s="10"/>
      <c r="J96" s="10"/>
      <c r="K96" s="21"/>
      <c r="L96" s="18"/>
      <c r="M96" s="18"/>
      <c r="N96" s="18"/>
    </row>
    <row r="97" spans="2:14" ht="17.4">
      <c r="B97" s="16"/>
      <c r="C97" s="8"/>
      <c r="D97" s="14"/>
      <c r="E97" s="6"/>
      <c r="F97" s="6"/>
      <c r="G97" s="6"/>
      <c r="H97" s="6"/>
      <c r="I97" s="10"/>
      <c r="J97" s="10"/>
      <c r="K97" s="21"/>
      <c r="L97" s="18"/>
      <c r="M97" s="18"/>
      <c r="N97" s="18"/>
    </row>
    <row r="98" spans="2:14" ht="17.4">
      <c r="B98" s="13"/>
      <c r="C98" s="8"/>
      <c r="D98" s="14"/>
      <c r="E98" s="6"/>
      <c r="F98" s="6"/>
      <c r="G98" s="6"/>
      <c r="H98" s="6"/>
      <c r="I98" s="9"/>
      <c r="J98" s="10"/>
      <c r="K98" s="15"/>
      <c r="L98" s="18"/>
      <c r="M98" s="18"/>
      <c r="N98" s="18"/>
    </row>
    <row r="99" spans="2:14" ht="17.4">
      <c r="B99" s="13"/>
      <c r="C99" s="8"/>
      <c r="D99" s="14"/>
      <c r="E99" s="6"/>
      <c r="F99" s="6"/>
      <c r="G99" s="6"/>
      <c r="H99" s="6"/>
      <c r="I99" s="9"/>
      <c r="J99" s="9"/>
      <c r="K99" s="15"/>
      <c r="L99" s="18"/>
      <c r="M99" s="18"/>
      <c r="N99" s="18"/>
    </row>
    <row r="100" spans="2:14" ht="17.4">
      <c r="B100" s="16"/>
      <c r="C100" s="8"/>
      <c r="D100" s="14"/>
      <c r="E100" s="6"/>
      <c r="F100" s="6"/>
      <c r="G100" s="6"/>
      <c r="H100" s="6"/>
      <c r="I100" s="10"/>
      <c r="J100" s="9"/>
      <c r="K100" s="15"/>
      <c r="L100" s="18"/>
      <c r="M100" s="18"/>
      <c r="N100" s="18"/>
    </row>
    <row r="101" spans="2:14" ht="17.4">
      <c r="B101" s="13"/>
      <c r="C101" s="11"/>
      <c r="D101" s="14"/>
      <c r="E101" s="6"/>
      <c r="F101" s="6"/>
      <c r="G101" s="6"/>
      <c r="H101" s="6"/>
      <c r="I101" s="9"/>
      <c r="J101" s="10"/>
      <c r="K101" s="15"/>
      <c r="L101" s="18"/>
      <c r="M101" s="18"/>
      <c r="N101" s="18"/>
    </row>
    <row r="102" spans="2:14" ht="17.4">
      <c r="B102" s="13"/>
      <c r="C102" s="8"/>
      <c r="D102" s="14"/>
      <c r="E102" s="6"/>
      <c r="F102" s="6"/>
      <c r="G102" s="6"/>
      <c r="H102" s="6"/>
      <c r="I102" s="9"/>
      <c r="J102" s="9"/>
      <c r="K102" s="15"/>
      <c r="L102" s="18"/>
      <c r="M102" s="18"/>
      <c r="N102" s="18"/>
    </row>
    <row r="103" spans="2:14" ht="17.4">
      <c r="B103" s="16"/>
      <c r="C103" s="12"/>
      <c r="D103" s="14"/>
      <c r="E103" s="6"/>
      <c r="F103" s="6"/>
      <c r="G103" s="6"/>
      <c r="H103" s="6"/>
      <c r="I103" s="10"/>
      <c r="J103" s="9"/>
      <c r="K103" s="15"/>
      <c r="L103" s="18"/>
      <c r="M103" s="18"/>
      <c r="N103" s="18"/>
    </row>
    <row r="104" spans="2:14" ht="17.4">
      <c r="B104" s="13"/>
      <c r="C104" s="12"/>
      <c r="D104" s="14"/>
      <c r="E104" s="6"/>
      <c r="F104" s="6"/>
      <c r="G104" s="6"/>
      <c r="H104" s="6"/>
      <c r="I104" s="9"/>
      <c r="J104" s="9"/>
      <c r="K104" s="15"/>
      <c r="L104" s="18"/>
      <c r="M104" s="18"/>
      <c r="N104" s="18"/>
    </row>
    <row r="105" spans="2:14" ht="17.4">
      <c r="B105" s="13"/>
      <c r="C105" s="8"/>
      <c r="D105" s="14"/>
      <c r="E105" s="6"/>
      <c r="F105" s="6"/>
      <c r="G105" s="6"/>
      <c r="H105" s="6"/>
      <c r="I105" s="9"/>
      <c r="J105" s="9"/>
      <c r="K105" s="15"/>
      <c r="L105" s="18"/>
      <c r="M105" s="18"/>
      <c r="N105" s="18"/>
    </row>
    <row r="106" spans="2:14" ht="17.4">
      <c r="B106" s="16"/>
      <c r="C106" s="8"/>
      <c r="D106" s="14"/>
      <c r="E106" s="6"/>
      <c r="F106" s="6"/>
      <c r="G106" s="6"/>
      <c r="H106" s="6"/>
      <c r="I106" s="10"/>
      <c r="J106" s="10"/>
      <c r="K106" s="21"/>
      <c r="L106" s="18"/>
      <c r="M106" s="18"/>
      <c r="N106" s="18"/>
    </row>
    <row r="107" spans="2:14" ht="17.4">
      <c r="B107" s="13"/>
      <c r="C107" s="8"/>
      <c r="D107" s="14"/>
      <c r="E107" s="6"/>
      <c r="F107" s="6"/>
      <c r="G107" s="6"/>
      <c r="H107" s="6"/>
      <c r="I107" s="9"/>
      <c r="J107" s="9"/>
      <c r="K107" s="15"/>
      <c r="L107" s="18"/>
      <c r="M107" s="18"/>
      <c r="N107" s="18"/>
    </row>
    <row r="108" spans="2:14" ht="17.4">
      <c r="B108" s="13"/>
      <c r="C108" s="8"/>
      <c r="D108" s="14"/>
      <c r="E108" s="6"/>
      <c r="F108" s="6"/>
      <c r="G108" s="6"/>
      <c r="H108" s="6"/>
      <c r="I108" s="9"/>
      <c r="J108" s="9"/>
      <c r="K108" s="15"/>
      <c r="L108" s="18"/>
      <c r="M108" s="18"/>
      <c r="N108" s="18"/>
    </row>
    <row r="109" spans="2:14" ht="17.4">
      <c r="B109" s="16"/>
      <c r="C109" s="8"/>
      <c r="D109" s="14"/>
      <c r="E109" s="6"/>
      <c r="F109" s="6"/>
      <c r="G109" s="6"/>
      <c r="H109" s="6"/>
      <c r="I109" s="10"/>
      <c r="J109" s="9"/>
      <c r="K109" s="15"/>
      <c r="L109" s="18"/>
      <c r="M109" s="18"/>
      <c r="N109" s="18"/>
    </row>
    <row r="110" spans="2:14" ht="17.4">
      <c r="B110" s="13"/>
      <c r="C110" s="8"/>
      <c r="D110" s="14"/>
      <c r="E110" s="6"/>
      <c r="F110" s="6"/>
      <c r="G110" s="6"/>
      <c r="H110" s="6"/>
      <c r="I110" s="9"/>
      <c r="J110" s="9"/>
      <c r="K110" s="15"/>
      <c r="L110" s="18"/>
      <c r="M110" s="18"/>
      <c r="N110" s="18"/>
    </row>
    <row r="111" spans="2:14" ht="17.4">
      <c r="B111" s="13"/>
      <c r="C111" s="8"/>
      <c r="D111" s="14"/>
      <c r="E111" s="6"/>
      <c r="F111" s="6"/>
      <c r="G111" s="6"/>
      <c r="H111" s="6"/>
      <c r="I111" s="9"/>
      <c r="J111" s="9"/>
      <c r="K111" s="15"/>
      <c r="L111" s="18"/>
      <c r="M111" s="18"/>
      <c r="N111" s="18"/>
    </row>
    <row r="112" spans="2:14" ht="17.4">
      <c r="B112" s="16"/>
      <c r="C112" s="22"/>
      <c r="D112" s="17"/>
      <c r="E112" s="6"/>
      <c r="F112" s="6"/>
      <c r="G112" s="6"/>
      <c r="H112" s="6"/>
      <c r="I112" s="10"/>
      <c r="J112" s="10"/>
      <c r="K112" s="21"/>
      <c r="L112" s="18"/>
      <c r="M112" s="18"/>
      <c r="N112" s="18"/>
    </row>
    <row r="113" spans="2:14" ht="17.4">
      <c r="B113" s="13"/>
      <c r="C113" s="8"/>
      <c r="D113" s="14"/>
      <c r="E113" s="6"/>
      <c r="F113" s="6"/>
      <c r="G113" s="6"/>
      <c r="H113" s="6"/>
      <c r="I113" s="9"/>
      <c r="J113" s="9"/>
      <c r="K113" s="15"/>
      <c r="L113" s="18"/>
      <c r="M113" s="18"/>
      <c r="N113" s="18"/>
    </row>
    <row r="114" spans="2:14" ht="17.4">
      <c r="B114" s="13"/>
      <c r="C114" s="8"/>
      <c r="D114" s="14"/>
      <c r="E114" s="6"/>
      <c r="F114" s="6"/>
      <c r="G114" s="6"/>
      <c r="H114" s="6"/>
      <c r="I114" s="9"/>
      <c r="J114" s="9"/>
      <c r="K114" s="15"/>
      <c r="L114" s="18"/>
      <c r="M114" s="18"/>
      <c r="N114" s="18"/>
    </row>
    <row r="115" spans="2:14" ht="17.4">
      <c r="B115" s="13"/>
      <c r="C115" s="8"/>
      <c r="D115" s="14"/>
      <c r="E115" s="6"/>
      <c r="F115" s="6"/>
      <c r="G115" s="6"/>
      <c r="H115" s="6"/>
      <c r="I115" s="9"/>
      <c r="J115" s="9"/>
      <c r="K115" s="15"/>
      <c r="L115" s="18"/>
      <c r="M115" s="18"/>
      <c r="N115" s="18"/>
    </row>
    <row r="116" spans="2:14" ht="15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5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</sheetData>
  <mergeCells count="7">
    <mergeCell ref="B3:N3"/>
    <mergeCell ref="K1:N1"/>
    <mergeCell ref="B2:N2"/>
    <mergeCell ref="C77:D77"/>
    <mergeCell ref="C76:D76"/>
    <mergeCell ref="C74:E74"/>
    <mergeCell ref="C75:E75"/>
  </mergeCells>
  <printOptions horizontalCentered="1" verticalCentered="1"/>
  <pageMargins left="0" right="0" top="0" bottom="0" header="0.5" footer="0.5"/>
  <pageSetup fitToHeight="1" fitToWidth="1" horizontalDpi="600" verticalDpi="600" orientation="landscape" paperSize="8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PNL</dc:creator>
  <cp:keywords/>
  <dc:description/>
  <cp:lastModifiedBy>Agostinetti Jole / kxgc002</cp:lastModifiedBy>
  <cp:lastPrinted>2016-02-18T10:18:04Z</cp:lastPrinted>
  <dcterms:created xsi:type="dcterms:W3CDTF">2013-05-06T09:14:44Z</dcterms:created>
  <dcterms:modified xsi:type="dcterms:W3CDTF">2016-03-01T16:38:43Z</dcterms:modified>
  <cp:category/>
  <cp:version/>
  <cp:contentType/>
  <cp:contentStatus/>
</cp:coreProperties>
</file>