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930" activeTab="0"/>
  </bookViews>
  <sheets>
    <sheet name="Contributo" sheetId="1" r:id="rId1"/>
    <sheet name="Pronto soccorso" sheetId="2" r:id="rId2"/>
    <sheet name="Formazione" sheetId="3" r:id="rId3"/>
    <sheet name="CPF" sheetId="4" r:id="rId4"/>
  </sheets>
  <definedNames>
    <definedName name="_xlnm.Print_Area" localSheetId="0">'Contributo'!$A$1:$L$170</definedName>
    <definedName name="_xlnm.Print_Area" localSheetId="1">'Pronto soccorso'!$A:$IV</definedName>
    <definedName name="_xlnm.Print_Titles" localSheetId="0">'Contributo'!$4:$12</definedName>
  </definedNames>
  <calcPr fullCalcOnLoad="1"/>
</workbook>
</file>

<file path=xl/comments1.xml><?xml version="1.0" encoding="utf-8"?>
<comments xmlns="http://schemas.openxmlformats.org/spreadsheetml/2006/main">
  <authors>
    <author>sccdef</author>
  </authors>
  <commentList>
    <comment ref="B190" authorId="0">
      <text>
        <r>
          <rPr>
            <sz val="8"/>
            <rFont val="Tahoma"/>
            <family val="2"/>
          </rPr>
          <t>Giornate di cura per reparto (tabella 3.06. opuscolo statistiche).</t>
        </r>
      </text>
    </comment>
  </commentList>
</comments>
</file>

<file path=xl/sharedStrings.xml><?xml version="1.0" encoding="utf-8"?>
<sst xmlns="http://schemas.openxmlformats.org/spreadsheetml/2006/main" count="250" uniqueCount="93">
  <si>
    <t>CM</t>
  </si>
  <si>
    <t>LAINF</t>
  </si>
  <si>
    <t>OSG</t>
  </si>
  <si>
    <t>OBV</t>
  </si>
  <si>
    <t>ODL</t>
  </si>
  <si>
    <t>FAI</t>
  </si>
  <si>
    <t>ACQ</t>
  </si>
  <si>
    <t>TOTALE</t>
  </si>
  <si>
    <t>a carico</t>
  </si>
  <si>
    <t>Stato</t>
  </si>
  <si>
    <t>Parte</t>
  </si>
  <si>
    <t>3. Cl. TI</t>
  </si>
  <si>
    <t>Totale</t>
  </si>
  <si>
    <t>%</t>
  </si>
  <si>
    <t>ORL</t>
  </si>
  <si>
    <t>PS generale</t>
  </si>
  <si>
    <t>PS ginecologia-ostetricia</t>
  </si>
  <si>
    <t>PS pediatria</t>
  </si>
  <si>
    <t>PS totale</t>
  </si>
  <si>
    <t>PS ORL</t>
  </si>
  <si>
    <t>PS oftalmologia</t>
  </si>
  <si>
    <t>Fabb. P.S.</t>
  </si>
  <si>
    <t>Formazione</t>
  </si>
  <si>
    <t>CPF</t>
  </si>
  <si>
    <t>Interessi</t>
  </si>
  <si>
    <t>Ammort.</t>
  </si>
  <si>
    <t>OSG+IOSI</t>
  </si>
  <si>
    <t>garante</t>
  </si>
  <si>
    <t xml:space="preserve">per </t>
  </si>
  <si>
    <t>carico</t>
  </si>
  <si>
    <t>costo dei reparti</t>
  </si>
  <si>
    <t>TOT</t>
  </si>
  <si>
    <t>Costi</t>
  </si>
  <si>
    <t>personale</t>
  </si>
  <si>
    <t>formazione</t>
  </si>
  <si>
    <t>Onorari</t>
  </si>
  <si>
    <t>medici</t>
  </si>
  <si>
    <t>Costi netti</t>
  </si>
  <si>
    <t>Fabbisogno</t>
  </si>
  <si>
    <t>Altre visite</t>
  </si>
  <si>
    <t>1. visita</t>
  </si>
  <si>
    <t>Totale visite</t>
  </si>
  <si>
    <t>Media</t>
  </si>
  <si>
    <t>Contributo per ogni visita</t>
  </si>
  <si>
    <t>Quota</t>
  </si>
  <si>
    <t>OSG - IOSI</t>
  </si>
  <si>
    <t>EOLAB</t>
  </si>
  <si>
    <t>CRN</t>
  </si>
  <si>
    <t xml:space="preserve"> Stato</t>
  </si>
  <si>
    <t>FAI riabilit.</t>
  </si>
  <si>
    <t>CRN riabilit.</t>
  </si>
  <si>
    <t>Caseload</t>
  </si>
  <si>
    <t>caseload:</t>
  </si>
  <si>
    <t>pazienti:</t>
  </si>
  <si>
    <t>giornate:</t>
  </si>
  <si>
    <t>costo riabilitazione</t>
  </si>
  <si>
    <t>di cui giornate riabilitazione:</t>
  </si>
  <si>
    <t>di cui pazienti riabilitazione:</t>
  </si>
  <si>
    <t>(in fr. 1'000.--) senza costi formazione e onorari medici 1. e 2. classe</t>
  </si>
  <si>
    <t xml:space="preserve"> o giornate</t>
  </si>
  <si>
    <t>Costo punto</t>
  </si>
  <si>
    <t>APDRG</t>
  </si>
  <si>
    <t xml:space="preserve"> tariffe medie</t>
  </si>
  <si>
    <t>Valore punto</t>
  </si>
  <si>
    <t>giornate (neonati inclusi):</t>
  </si>
  <si>
    <t>pazienti (neonati inclusi):</t>
  </si>
  <si>
    <t>Giornate totali</t>
  </si>
  <si>
    <t>Caseload totali</t>
  </si>
  <si>
    <t xml:space="preserve"> % giornate</t>
  </si>
  <si>
    <t>Contributo Casa Anziani Cevio</t>
  </si>
  <si>
    <t>Contributo</t>
  </si>
  <si>
    <t>globale</t>
  </si>
  <si>
    <t>Caseload 3.TI</t>
  </si>
  <si>
    <t>Riablitaz.</t>
  </si>
  <si>
    <t>Senza riab.</t>
  </si>
  <si>
    <t>Differenza</t>
  </si>
  <si>
    <t>Paz. 3. Cl. TI</t>
  </si>
  <si>
    <t>Dettaglio</t>
  </si>
  <si>
    <t>del totale</t>
  </si>
  <si>
    <t>assegnato</t>
  </si>
  <si>
    <t>o tariffe</t>
  </si>
  <si>
    <t>Fr.</t>
  </si>
  <si>
    <t>mix (5.1 CW):</t>
  </si>
  <si>
    <t>TABELLA 5.</t>
  </si>
  <si>
    <t>CONFRONTO DEL CONTRIBUTO GLOBALE 2008 CON QUELLO ASSEGNATO</t>
  </si>
  <si>
    <t>CONTRIBUTO PER OGNI VISITA DI PRONTO SOCCORSO 2008</t>
  </si>
  <si>
    <t>Calcolo costi per formazione 2008 (in fr. 1'000)</t>
  </si>
  <si>
    <t>Fabbisogno CPF 2008</t>
  </si>
  <si>
    <t>Dato per categoria medica relativo al 2008</t>
  </si>
  <si>
    <t>Giornate di cura 3. classe TI 2008</t>
  </si>
  <si>
    <t>Caseload 3. classe TI 2008</t>
  </si>
  <si>
    <t>Totale contributo globale 2008</t>
  </si>
  <si>
    <t>LAINF/AM/AI</t>
  </si>
</sst>
</file>

<file path=xl/styles.xml><?xml version="1.0" encoding="utf-8"?>
<styleSheet xmlns="http://schemas.openxmlformats.org/spreadsheetml/2006/main">
  <numFmts count="2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%"/>
    <numFmt numFmtId="166" formatCode="0.0"/>
    <numFmt numFmtId="167" formatCode="#,##0.00;#,##0.00;&quot; &quot;"/>
    <numFmt numFmtId="168" formatCode="0.00000000000000%"/>
    <numFmt numFmtId="169" formatCode="#,##0.0000"/>
    <numFmt numFmtId="170" formatCode="#,##0.00000"/>
    <numFmt numFmtId="171" formatCode="0.000%"/>
    <numFmt numFmtId="172" formatCode="#,##0.000"/>
    <numFmt numFmtId="173" formatCode="#,##0.000000"/>
    <numFmt numFmtId="174" formatCode="#,##0.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%"/>
  </numFmts>
  <fonts count="14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165" fontId="3" fillId="0" borderId="0" xfId="17" applyNumberFormat="1" applyFont="1" applyAlignment="1">
      <alignment/>
    </xf>
    <xf numFmtId="4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10" fontId="3" fillId="0" borderId="0" xfId="17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5" fontId="0" fillId="0" borderId="0" xfId="17" applyNumberForma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0" fontId="6" fillId="0" borderId="0" xfId="17" applyNumberFormat="1" applyFont="1" applyAlignment="1">
      <alignment/>
    </xf>
    <xf numFmtId="10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0" fontId="2" fillId="0" borderId="0" xfId="17" applyNumberFormat="1" applyFont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3" fontId="0" fillId="0" borderId="0" xfId="15" applyAlignment="1">
      <alignment/>
    </xf>
    <xf numFmtId="10" fontId="0" fillId="0" borderId="0" xfId="17" applyNumberFormat="1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9" fontId="3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69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7109375" style="4" customWidth="1"/>
    <col min="2" max="2" width="10.7109375" style="16" customWidth="1"/>
    <col min="3" max="3" width="8.7109375" style="3" customWidth="1"/>
    <col min="4" max="6" width="9.7109375" style="4" customWidth="1"/>
    <col min="7" max="7" width="5.7109375" style="4" hidden="1" customWidth="1"/>
    <col min="8" max="8" width="10.7109375" style="3" customWidth="1"/>
    <col min="9" max="9" width="7.7109375" style="5" hidden="1" customWidth="1"/>
    <col min="10" max="11" width="10.7109375" style="3" customWidth="1"/>
    <col min="12" max="12" width="10.00390625" style="12" customWidth="1"/>
    <col min="13" max="13" width="7.421875" style="12" customWidth="1"/>
    <col min="14" max="16384" width="6.7109375" style="4" customWidth="1"/>
  </cols>
  <sheetData>
    <row r="1" ht="12.75">
      <c r="A1" s="14" t="s">
        <v>83</v>
      </c>
    </row>
    <row r="2" ht="11.25"/>
    <row r="3" ht="11.25"/>
    <row r="4" spans="1:12" ht="15.75">
      <c r="A4" s="76" t="s">
        <v>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2" ht="23.25" customHeight="1">
      <c r="A6" s="1"/>
      <c r="B6" s="18"/>
    </row>
    <row r="7" spans="2:13" ht="11.25">
      <c r="B7" s="6" t="s">
        <v>68</v>
      </c>
      <c r="C7" s="6" t="s">
        <v>51</v>
      </c>
      <c r="D7" s="7" t="s">
        <v>60</v>
      </c>
      <c r="E7" s="7" t="s">
        <v>63</v>
      </c>
      <c r="F7" s="7" t="s">
        <v>63</v>
      </c>
      <c r="G7" s="7" t="s">
        <v>10</v>
      </c>
      <c r="H7" s="6" t="s">
        <v>76</v>
      </c>
      <c r="I7" s="8"/>
      <c r="J7" s="6" t="s">
        <v>77</v>
      </c>
      <c r="K7" s="6" t="s">
        <v>12</v>
      </c>
      <c r="L7" s="6" t="s">
        <v>70</v>
      </c>
      <c r="M7" s="6"/>
    </row>
    <row r="8" spans="2:13" ht="11.25">
      <c r="B8" s="20" t="s">
        <v>28</v>
      </c>
      <c r="C8" s="6" t="s">
        <v>59</v>
      </c>
      <c r="D8" s="6" t="s">
        <v>61</v>
      </c>
      <c r="E8" s="7" t="s">
        <v>61</v>
      </c>
      <c r="F8" s="7" t="s">
        <v>80</v>
      </c>
      <c r="G8" s="7"/>
      <c r="H8" s="6" t="s">
        <v>10</v>
      </c>
      <c r="I8" s="8"/>
      <c r="J8" s="6" t="s">
        <v>78</v>
      </c>
      <c r="K8" s="6" t="s">
        <v>8</v>
      </c>
      <c r="L8" s="6" t="s">
        <v>71</v>
      </c>
      <c r="M8" s="6"/>
    </row>
    <row r="9" spans="2:13" ht="11.25">
      <c r="B9" s="20" t="s">
        <v>27</v>
      </c>
      <c r="C9" s="7">
        <v>2008</v>
      </c>
      <c r="D9" s="6" t="s">
        <v>59</v>
      </c>
      <c r="E9" s="6" t="s">
        <v>62</v>
      </c>
      <c r="F9" s="7" t="s">
        <v>8</v>
      </c>
      <c r="G9" s="7" t="s">
        <v>29</v>
      </c>
      <c r="H9" s="6" t="s">
        <v>8</v>
      </c>
      <c r="I9" s="8"/>
      <c r="J9" s="6" t="s">
        <v>8</v>
      </c>
      <c r="K9" s="15" t="s">
        <v>48</v>
      </c>
      <c r="L9" s="15">
        <v>2008</v>
      </c>
      <c r="M9" s="6"/>
    </row>
    <row r="10" spans="2:13" ht="11.25">
      <c r="B10" s="20"/>
      <c r="C10" s="6" t="s">
        <v>11</v>
      </c>
      <c r="D10" s="7">
        <v>2008</v>
      </c>
      <c r="E10" s="7">
        <v>2008</v>
      </c>
      <c r="F10" s="7" t="s">
        <v>9</v>
      </c>
      <c r="G10" s="7" t="s">
        <v>9</v>
      </c>
      <c r="H10" s="6" t="s">
        <v>9</v>
      </c>
      <c r="I10" s="8"/>
      <c r="J10" s="6" t="s">
        <v>9</v>
      </c>
      <c r="K10" s="7">
        <v>2008</v>
      </c>
      <c r="L10" s="7" t="s">
        <v>79</v>
      </c>
      <c r="M10" s="9"/>
    </row>
    <row r="11" spans="6:12" ht="11.25">
      <c r="F11" s="7"/>
      <c r="G11" s="7" t="s">
        <v>13</v>
      </c>
      <c r="H11" s="6" t="s">
        <v>81</v>
      </c>
      <c r="I11" s="8"/>
      <c r="J11" s="7">
        <v>2008</v>
      </c>
      <c r="K11" s="15"/>
      <c r="L11" s="15"/>
    </row>
    <row r="12" spans="6:12" ht="11.25">
      <c r="F12" s="7"/>
      <c r="G12" s="7"/>
      <c r="H12" s="21"/>
      <c r="I12" s="8"/>
      <c r="L12" s="3"/>
    </row>
    <row r="13" spans="6:12" ht="11.25">
      <c r="F13" s="7"/>
      <c r="G13" s="7"/>
      <c r="H13" s="21"/>
      <c r="I13" s="8"/>
      <c r="L13" s="3"/>
    </row>
    <row r="14" spans="1:12" ht="11.25">
      <c r="A14" s="2" t="s">
        <v>14</v>
      </c>
      <c r="B14" s="16" t="s">
        <v>64</v>
      </c>
      <c r="D14" s="3">
        <v>99198</v>
      </c>
      <c r="I14" s="17"/>
      <c r="J14" s="17"/>
      <c r="K14" s="17"/>
      <c r="L14" s="17"/>
    </row>
    <row r="15" spans="1:12" ht="11.25">
      <c r="A15" s="2"/>
      <c r="B15" s="16" t="s">
        <v>65</v>
      </c>
      <c r="D15" s="3">
        <v>12209</v>
      </c>
      <c r="I15" s="17"/>
      <c r="J15" s="17"/>
      <c r="K15" s="17"/>
      <c r="L15" s="17"/>
    </row>
    <row r="16" spans="1:12" ht="11.25">
      <c r="A16" s="2"/>
      <c r="B16" s="16" t="s">
        <v>82</v>
      </c>
      <c r="D16" s="39">
        <v>0.9806</v>
      </c>
      <c r="I16" s="17"/>
      <c r="J16" s="17"/>
      <c r="K16" s="17"/>
      <c r="L16" s="17"/>
    </row>
    <row r="17" spans="2:13" ht="11.25" customHeight="1">
      <c r="B17" s="16" t="s">
        <v>52</v>
      </c>
      <c r="D17" s="39">
        <v>11989.8974</v>
      </c>
      <c r="I17" s="17">
        <f>I176</f>
        <v>0.6921</v>
      </c>
      <c r="K17" s="17"/>
      <c r="L17" s="17"/>
      <c r="M17" s="3"/>
    </row>
    <row r="18" spans="4:13" ht="11.25" customHeight="1">
      <c r="D18" s="3"/>
      <c r="K18" s="17"/>
      <c r="L18" s="17"/>
      <c r="M18" s="3"/>
    </row>
    <row r="19" spans="2:13" ht="11.25" customHeight="1">
      <c r="B19" s="28" t="s">
        <v>30</v>
      </c>
      <c r="D19" s="38">
        <f>116843.8-4440.6-Formazione!F9</f>
        <v>107311</v>
      </c>
      <c r="E19" s="29" t="s">
        <v>58</v>
      </c>
      <c r="K19" s="17"/>
      <c r="L19" s="17"/>
      <c r="M19" s="3"/>
    </row>
    <row r="20" spans="12:13" ht="11.25" customHeight="1">
      <c r="L20" s="3"/>
      <c r="M20" s="3"/>
    </row>
    <row r="21" spans="1:13" ht="11.25">
      <c r="A21" s="4" t="s">
        <v>0</v>
      </c>
      <c r="B21" s="37">
        <f>ROUND(D$176/F$176*100,2)</f>
        <v>95.92</v>
      </c>
      <c r="C21" s="3">
        <f>ROUND(D$17*I$17*B21/100,0)</f>
        <v>7960</v>
      </c>
      <c r="D21" s="11">
        <f>ROUND(D$19/D$17*1000,2)</f>
        <v>8950.12</v>
      </c>
      <c r="E21" s="11">
        <v>3937</v>
      </c>
      <c r="F21" s="11">
        <f>D21-E21</f>
        <v>5013.120000000001</v>
      </c>
      <c r="G21" s="11">
        <f>F21/D21*100</f>
        <v>56.01176297077581</v>
      </c>
      <c r="H21" s="3">
        <f>ROUND(F21*C21,-2)</f>
        <v>39904400</v>
      </c>
      <c r="L21" s="3"/>
      <c r="M21" s="3"/>
    </row>
    <row r="22" spans="1:13" ht="11.25">
      <c r="A22" s="4" t="s">
        <v>1</v>
      </c>
      <c r="B22" s="37">
        <f>ROUND(E$176/F$176*100,2)</f>
        <v>4.08</v>
      </c>
      <c r="C22" s="3">
        <f>ROUND(D$17*I$17*B22/100,0)</f>
        <v>339</v>
      </c>
      <c r="D22" s="11">
        <f>ROUND(D$19/D$17*1000,2)</f>
        <v>8950.12</v>
      </c>
      <c r="E22" s="11">
        <v>7057</v>
      </c>
      <c r="F22" s="11">
        <f>D22-E22</f>
        <v>1893.1200000000008</v>
      </c>
      <c r="G22" s="11">
        <f>F22/D22*100</f>
        <v>21.15189517012063</v>
      </c>
      <c r="H22" s="3">
        <f>ROUND(F22*C22,-2)</f>
        <v>641800</v>
      </c>
      <c r="L22" s="3"/>
      <c r="M22" s="3"/>
    </row>
    <row r="23" spans="1:13" ht="11.25">
      <c r="A23" s="4" t="s">
        <v>42</v>
      </c>
      <c r="B23" s="16">
        <f>SUM(B21:B22)</f>
        <v>100</v>
      </c>
      <c r="C23" s="3">
        <f>SUM(C21:C22)</f>
        <v>8299</v>
      </c>
      <c r="D23" s="11">
        <f>ROUND(D$19/D$17*1000,2)</f>
        <v>8950.12</v>
      </c>
      <c r="E23" s="11">
        <f>ROUND((E21*B21+E22*B22)/B23,2)</f>
        <v>4064.3</v>
      </c>
      <c r="F23" s="11">
        <f>D23-E23</f>
        <v>4885.820000000001</v>
      </c>
      <c r="G23" s="11">
        <f>F23/D23*100</f>
        <v>54.589435672370875</v>
      </c>
      <c r="H23" s="3">
        <f>SUM(H21:H22)</f>
        <v>40546200</v>
      </c>
      <c r="I23" s="10"/>
      <c r="J23" s="3">
        <f>H23</f>
        <v>40546200</v>
      </c>
      <c r="L23" s="3"/>
      <c r="M23" s="3"/>
    </row>
    <row r="24" spans="8:13" ht="11.25">
      <c r="H24" s="27"/>
      <c r="I24" s="10"/>
      <c r="L24" s="3"/>
      <c r="M24" s="3"/>
    </row>
    <row r="25" spans="1:13" ht="11.25">
      <c r="A25" s="4" t="s">
        <v>21</v>
      </c>
      <c r="C25" s="3">
        <f>'Pronto soccorso'!F12</f>
        <v>57637</v>
      </c>
      <c r="F25" s="39">
        <f>'Pronto soccorso'!$C$42</f>
        <v>29.8258</v>
      </c>
      <c r="G25" s="11"/>
      <c r="J25" s="3">
        <f>ROUND(C25*F25,-2)</f>
        <v>1719100</v>
      </c>
      <c r="L25" s="3"/>
      <c r="M25" s="3"/>
    </row>
    <row r="26" spans="1:13" ht="11.25">
      <c r="A26" s="4" t="s">
        <v>22</v>
      </c>
      <c r="F26" s="11"/>
      <c r="G26" s="11"/>
      <c r="J26" s="3">
        <f>Formazione!F9*1000</f>
        <v>5092200</v>
      </c>
      <c r="L26" s="3"/>
      <c r="M26" s="3"/>
    </row>
    <row r="27" spans="1:13" ht="11.25">
      <c r="A27" s="4" t="s">
        <v>23</v>
      </c>
      <c r="F27" s="11"/>
      <c r="G27" s="11"/>
      <c r="J27" s="3">
        <f>CPF!B8</f>
        <v>284800</v>
      </c>
      <c r="L27" s="3"/>
      <c r="M27" s="3"/>
    </row>
    <row r="28" spans="1:13" ht="11.25">
      <c r="A28" s="4" t="s">
        <v>24</v>
      </c>
      <c r="F28" s="11"/>
      <c r="G28" s="11"/>
      <c r="J28" s="3">
        <v>886700</v>
      </c>
      <c r="L28" s="3"/>
      <c r="M28" s="3"/>
    </row>
    <row r="29" spans="1:13" ht="11.25">
      <c r="A29" s="4" t="s">
        <v>25</v>
      </c>
      <c r="F29" s="11"/>
      <c r="G29" s="11"/>
      <c r="J29" s="59">
        <f>6282400+1486300</f>
        <v>7768700</v>
      </c>
      <c r="L29" s="3"/>
      <c r="M29" s="3"/>
    </row>
    <row r="30" spans="6:13" ht="11.25">
      <c r="F30" s="11"/>
      <c r="G30" s="11"/>
      <c r="J30" s="12">
        <f>SUM(J23:J29)</f>
        <v>56297700</v>
      </c>
      <c r="K30" s="12">
        <f>ROUND(J30*1,-2)</f>
        <v>56297700</v>
      </c>
      <c r="L30" s="12">
        <v>56410000</v>
      </c>
      <c r="M30" s="3"/>
    </row>
    <row r="31" spans="6:12" ht="11.25">
      <c r="F31" s="11"/>
      <c r="G31" s="11"/>
      <c r="L31" s="3"/>
    </row>
    <row r="32" spans="1:12" ht="11.25">
      <c r="A32" s="2" t="s">
        <v>26</v>
      </c>
      <c r="B32" s="16" t="s">
        <v>64</v>
      </c>
      <c r="D32" s="3">
        <f>62957+9894</f>
        <v>72851</v>
      </c>
      <c r="I32" s="17"/>
      <c r="J32" s="17"/>
      <c r="K32" s="17"/>
      <c r="L32" s="17"/>
    </row>
    <row r="33" spans="1:12" ht="11.25">
      <c r="A33" s="2"/>
      <c r="B33" s="16" t="s">
        <v>65</v>
      </c>
      <c r="D33" s="3">
        <f>8501+1080</f>
        <v>9581</v>
      </c>
      <c r="I33" s="17"/>
      <c r="J33" s="17"/>
      <c r="K33" s="17"/>
      <c r="L33" s="17"/>
    </row>
    <row r="34" spans="1:12" ht="11.25">
      <c r="A34" s="2"/>
      <c r="B34" s="16" t="s">
        <v>82</v>
      </c>
      <c r="D34" s="72">
        <v>0.9305</v>
      </c>
      <c r="I34" s="17"/>
      <c r="J34" s="17"/>
      <c r="K34" s="17"/>
      <c r="L34" s="17"/>
    </row>
    <row r="35" spans="2:13" ht="11.25" customHeight="1">
      <c r="B35" s="16" t="s">
        <v>52</v>
      </c>
      <c r="D35" s="72">
        <v>8935.6149</v>
      </c>
      <c r="I35" s="17">
        <f>I177</f>
        <v>0.723</v>
      </c>
      <c r="K35" s="17"/>
      <c r="L35" s="17"/>
      <c r="M35" s="3"/>
    </row>
    <row r="36" spans="4:13" ht="11.25" customHeight="1">
      <c r="D36" s="3"/>
      <c r="K36" s="17"/>
      <c r="L36" s="17"/>
      <c r="M36" s="3"/>
    </row>
    <row r="37" spans="2:13" ht="11.25" customHeight="1">
      <c r="B37" s="16" t="s">
        <v>30</v>
      </c>
      <c r="D37" s="38">
        <f>72716.3-2333+11049.6-77.8-Formazione!F10</f>
        <v>77062</v>
      </c>
      <c r="E37" s="29" t="s">
        <v>58</v>
      </c>
      <c r="K37" s="17"/>
      <c r="L37" s="17"/>
      <c r="M37" s="3"/>
    </row>
    <row r="38" spans="12:13" ht="11.25" customHeight="1">
      <c r="L38" s="3"/>
      <c r="M38" s="3"/>
    </row>
    <row r="39" spans="1:13" ht="11.25">
      <c r="A39" s="4" t="s">
        <v>0</v>
      </c>
      <c r="B39" s="16">
        <f>ROUND(D$177/F$177*100,2)</f>
        <v>95.47</v>
      </c>
      <c r="C39" s="3">
        <f>ROUND(D$35*I$35*B39/100,0)</f>
        <v>6168</v>
      </c>
      <c r="D39" s="11">
        <f>ROUND(D$37/D$35*1000,2)</f>
        <v>8624.14</v>
      </c>
      <c r="E39" s="11">
        <v>3449</v>
      </c>
      <c r="F39" s="11">
        <f>D39-E39</f>
        <v>5175.139999999999</v>
      </c>
      <c r="G39" s="11">
        <f>F39/D39*100</f>
        <v>60.00760655555221</v>
      </c>
      <c r="H39" s="3">
        <f>ROUND(F39*C39,-2)</f>
        <v>31920300</v>
      </c>
      <c r="L39" s="3"/>
      <c r="M39" s="3"/>
    </row>
    <row r="40" spans="1:13" ht="11.25">
      <c r="A40" s="4" t="s">
        <v>1</v>
      </c>
      <c r="B40" s="16">
        <f>ROUND(E$177/F$177*100,2)</f>
        <v>4.53</v>
      </c>
      <c r="C40" s="3">
        <f>ROUND(D$35*I$35*B40/100,0)</f>
        <v>293</v>
      </c>
      <c r="D40" s="11">
        <f>ROUND(D$37/D$35*1000,2)</f>
        <v>8624.14</v>
      </c>
      <c r="E40" s="11">
        <v>6382</v>
      </c>
      <c r="F40" s="11">
        <f>D40-E40</f>
        <v>2242.1399999999994</v>
      </c>
      <c r="G40" s="11">
        <f>F40/D40*100</f>
        <v>25.99841839302237</v>
      </c>
      <c r="H40" s="3">
        <f>ROUND(F40*C40,-2)</f>
        <v>656900</v>
      </c>
      <c r="L40" s="3"/>
      <c r="M40" s="3"/>
    </row>
    <row r="41" spans="1:13" ht="11.25">
      <c r="A41" s="4" t="s">
        <v>42</v>
      </c>
      <c r="B41" s="16">
        <f>SUM(B39:B40)</f>
        <v>100</v>
      </c>
      <c r="C41" s="3">
        <f>SUM(C39:C40)</f>
        <v>6461</v>
      </c>
      <c r="D41" s="11">
        <f>ROUND(D$37/D$35*1000,2)</f>
        <v>8624.14</v>
      </c>
      <c r="E41" s="11">
        <f>ROUND((E39*B39+E40*B40)/B41,2)</f>
        <v>3581.86</v>
      </c>
      <c r="F41" s="11">
        <f>D41-E41</f>
        <v>5042.279999999999</v>
      </c>
      <c r="G41" s="11">
        <f>F41/D41*100</f>
        <v>58.46704714904906</v>
      </c>
      <c r="H41" s="3">
        <f>SUM(H39:H40)</f>
        <v>32577200</v>
      </c>
      <c r="I41" s="10"/>
      <c r="J41" s="3">
        <f>H41</f>
        <v>32577200</v>
      </c>
      <c r="L41" s="3"/>
      <c r="M41" s="3"/>
    </row>
    <row r="42" spans="8:13" ht="11.25">
      <c r="H42" s="27"/>
      <c r="I42" s="10"/>
      <c r="L42" s="3"/>
      <c r="M42" s="3"/>
    </row>
    <row r="43" spans="1:13" ht="11.25">
      <c r="A43" s="4" t="s">
        <v>21</v>
      </c>
      <c r="C43" s="3">
        <f>'Pronto soccorso'!F18</f>
        <v>32356</v>
      </c>
      <c r="F43" s="39">
        <f>'Pronto soccorso'!$C$42</f>
        <v>29.8258</v>
      </c>
      <c r="I43" s="10"/>
      <c r="J43" s="3">
        <f>ROUND(C43*F43,-2)</f>
        <v>965000</v>
      </c>
      <c r="L43" s="3"/>
      <c r="M43" s="3"/>
    </row>
    <row r="44" spans="1:13" ht="11.25">
      <c r="A44" s="4" t="s">
        <v>22</v>
      </c>
      <c r="I44" s="10"/>
      <c r="J44" s="3">
        <f>Formazione!F10*1000</f>
        <v>4293100</v>
      </c>
      <c r="L44" s="3"/>
      <c r="M44" s="3"/>
    </row>
    <row r="45" spans="1:13" ht="11.25">
      <c r="A45" s="4" t="s">
        <v>23</v>
      </c>
      <c r="I45" s="10"/>
      <c r="J45" s="3">
        <f>CPF!C8</f>
        <v>224600</v>
      </c>
      <c r="L45" s="3"/>
      <c r="M45" s="3"/>
    </row>
    <row r="46" spans="1:13" ht="11.25">
      <c r="A46" s="4" t="s">
        <v>24</v>
      </c>
      <c r="I46" s="10"/>
      <c r="J46" s="59">
        <f>559800+40500</f>
        <v>600300</v>
      </c>
      <c r="L46" s="3"/>
      <c r="M46" s="3"/>
    </row>
    <row r="47" spans="1:13" ht="11.25">
      <c r="A47" s="4" t="s">
        <v>25</v>
      </c>
      <c r="I47" s="10"/>
      <c r="J47" s="59">
        <v>6593200</v>
      </c>
      <c r="L47" s="3"/>
      <c r="M47" s="3"/>
    </row>
    <row r="48" spans="6:13" ht="11.25">
      <c r="F48" s="11"/>
      <c r="G48" s="11"/>
      <c r="J48" s="12">
        <f>SUM(J41:J47)</f>
        <v>45253400</v>
      </c>
      <c r="K48" s="12">
        <f>ROUND(J48*1,-2)</f>
        <v>45253400</v>
      </c>
      <c r="L48" s="12">
        <v>45941800</v>
      </c>
      <c r="M48" s="3"/>
    </row>
    <row r="49" ht="11.25">
      <c r="L49" s="3"/>
    </row>
    <row r="50" spans="1:12" ht="11.25">
      <c r="A50" s="2" t="s">
        <v>3</v>
      </c>
      <c r="B50" s="16" t="s">
        <v>64</v>
      </c>
      <c r="D50" s="3">
        <v>45722</v>
      </c>
      <c r="I50" s="17"/>
      <c r="J50" s="17"/>
      <c r="K50" s="17"/>
      <c r="L50" s="17"/>
    </row>
    <row r="51" spans="1:12" ht="11.25">
      <c r="A51" s="2"/>
      <c r="B51" s="16" t="s">
        <v>65</v>
      </c>
      <c r="D51" s="3">
        <v>6094</v>
      </c>
      <c r="I51" s="17"/>
      <c r="J51" s="17"/>
      <c r="K51" s="17"/>
      <c r="L51" s="17"/>
    </row>
    <row r="52" spans="1:12" ht="11.25">
      <c r="A52" s="2"/>
      <c r="B52" s="16" t="s">
        <v>82</v>
      </c>
      <c r="D52" s="39">
        <v>0.8744</v>
      </c>
      <c r="I52" s="17"/>
      <c r="J52" s="17"/>
      <c r="K52" s="17"/>
      <c r="L52" s="17"/>
    </row>
    <row r="53" spans="2:12" ht="11.25" customHeight="1">
      <c r="B53" s="16" t="s">
        <v>52</v>
      </c>
      <c r="D53" s="39">
        <v>5328.4641</v>
      </c>
      <c r="I53" s="17">
        <f>I178</f>
        <v>0.7083</v>
      </c>
      <c r="K53" s="17"/>
      <c r="L53" s="17"/>
    </row>
    <row r="54" spans="4:12" ht="11.25" customHeight="1">
      <c r="D54" s="3"/>
      <c r="K54" s="17"/>
      <c r="L54" s="17"/>
    </row>
    <row r="55" spans="2:12" ht="11.25" customHeight="1">
      <c r="B55" s="16" t="s">
        <v>30</v>
      </c>
      <c r="D55" s="38">
        <f>46891-2268.4-Formazione!F11</f>
        <v>42499.9</v>
      </c>
      <c r="E55" s="29" t="s">
        <v>58</v>
      </c>
      <c r="K55" s="17"/>
      <c r="L55" s="17"/>
    </row>
    <row r="56" ht="11.25" customHeight="1">
      <c r="L56" s="3"/>
    </row>
    <row r="57" spans="1:12" ht="11.25">
      <c r="A57" s="4" t="s">
        <v>0</v>
      </c>
      <c r="B57" s="16">
        <f>ROUND(D$178/F$178*100,2)</f>
        <v>96.98</v>
      </c>
      <c r="C57" s="3">
        <f>ROUND(D53*I$53*B57/100,0)</f>
        <v>3660</v>
      </c>
      <c r="D57" s="11">
        <f>ROUND(D$55/D$53*1000,2)</f>
        <v>7976.01</v>
      </c>
      <c r="E57" s="11">
        <v>3527</v>
      </c>
      <c r="F57" s="11">
        <f>D57-E57</f>
        <v>4449.01</v>
      </c>
      <c r="G57" s="11">
        <f>F57/D57*100</f>
        <v>55.77989496001133</v>
      </c>
      <c r="H57" s="3">
        <f>ROUND(F57*C57,-2)</f>
        <v>16283400</v>
      </c>
      <c r="L57" s="3"/>
    </row>
    <row r="58" spans="1:12" ht="11.25">
      <c r="A58" s="4" t="s">
        <v>1</v>
      </c>
      <c r="B58" s="16">
        <f>ROUND(E$178/F$178*100,2)</f>
        <v>3.02</v>
      </c>
      <c r="C58" s="3">
        <f>ROUND(D53*I$53*B58/100,0)</f>
        <v>114</v>
      </c>
      <c r="D58" s="11">
        <f>ROUND(D$55/D$53*1000,2)</f>
        <v>7976.01</v>
      </c>
      <c r="E58" s="11">
        <v>7057</v>
      </c>
      <c r="F58" s="11">
        <f>D58-E58</f>
        <v>919.0100000000002</v>
      </c>
      <c r="G58" s="11">
        <f>F58/D58*100</f>
        <v>11.522177128664584</v>
      </c>
      <c r="H58" s="3">
        <f>ROUND(F58*C58,-2)</f>
        <v>104800</v>
      </c>
      <c r="L58" s="3"/>
    </row>
    <row r="59" spans="1:12" ht="11.25">
      <c r="A59" s="4" t="s">
        <v>42</v>
      </c>
      <c r="B59" s="16">
        <f>SUM(B57:B58)</f>
        <v>100</v>
      </c>
      <c r="C59" s="3">
        <f>SUM(C57:C58)</f>
        <v>3774</v>
      </c>
      <c r="D59" s="11">
        <f>ROUND(D$55/D$53*1000,2)</f>
        <v>7976.01</v>
      </c>
      <c r="E59" s="11">
        <f>ROUND((E57*B57+E58*B58)/B59,2)</f>
        <v>3633.61</v>
      </c>
      <c r="F59" s="11">
        <f>D59-E59</f>
        <v>4342.4</v>
      </c>
      <c r="G59" s="11">
        <f>F59/D59*100</f>
        <v>54.44326173111618</v>
      </c>
      <c r="H59" s="3">
        <f>SUM(H57:H58)</f>
        <v>16388200</v>
      </c>
      <c r="I59" s="10"/>
      <c r="J59" s="3">
        <f>H59</f>
        <v>16388200</v>
      </c>
      <c r="L59" s="3"/>
    </row>
    <row r="60" spans="8:12" ht="11.25">
      <c r="H60" s="27"/>
      <c r="I60" s="10"/>
      <c r="L60" s="3"/>
    </row>
    <row r="61" spans="1:12" ht="11.25">
      <c r="A61" s="4" t="s">
        <v>21</v>
      </c>
      <c r="C61" s="3">
        <f>'Pronto soccorso'!F24</f>
        <v>24926</v>
      </c>
      <c r="F61" s="39">
        <f>'Pronto soccorso'!$C$42</f>
        <v>29.8258</v>
      </c>
      <c r="G61" s="11"/>
      <c r="J61" s="3">
        <f>ROUND(C61*F61,-2)</f>
        <v>743400</v>
      </c>
      <c r="L61" s="3"/>
    </row>
    <row r="62" spans="1:12" ht="11.25">
      <c r="A62" s="4" t="s">
        <v>22</v>
      </c>
      <c r="F62" s="11"/>
      <c r="G62" s="11"/>
      <c r="J62" s="3">
        <f>Formazione!F11*1000</f>
        <v>2122700</v>
      </c>
      <c r="L62" s="3"/>
    </row>
    <row r="63" spans="1:12" ht="11.25">
      <c r="A63" s="4" t="s">
        <v>23</v>
      </c>
      <c r="F63" s="11"/>
      <c r="G63" s="11"/>
      <c r="J63" s="3">
        <f>CPF!D8</f>
        <v>217900</v>
      </c>
      <c r="L63" s="3"/>
    </row>
    <row r="64" spans="1:12" ht="11.25">
      <c r="A64" s="4" t="s">
        <v>24</v>
      </c>
      <c r="F64" s="11"/>
      <c r="G64" s="11"/>
      <c r="J64" s="3">
        <v>182900</v>
      </c>
      <c r="L64" s="3"/>
    </row>
    <row r="65" spans="1:11" ht="11.25">
      <c r="A65" s="4" t="s">
        <v>25</v>
      </c>
      <c r="F65" s="11"/>
      <c r="G65" s="11"/>
      <c r="J65" s="59">
        <v>2153800</v>
      </c>
      <c r="K65" s="12"/>
    </row>
    <row r="66" spans="6:13" ht="11.25">
      <c r="F66" s="11"/>
      <c r="G66" s="11"/>
      <c r="J66" s="12">
        <f>SUM(J59:J65)</f>
        <v>21808900</v>
      </c>
      <c r="K66" s="12">
        <f>ROUND(J66*1,-2)</f>
        <v>21808900</v>
      </c>
      <c r="L66" s="12">
        <v>21390400</v>
      </c>
      <c r="M66" s="3"/>
    </row>
    <row r="67" spans="6:13" ht="11.25">
      <c r="F67" s="11"/>
      <c r="G67" s="11"/>
      <c r="L67" s="3"/>
      <c r="M67" s="3"/>
    </row>
    <row r="68" spans="6:13" ht="11.25">
      <c r="F68" s="11"/>
      <c r="G68" s="11"/>
      <c r="L68" s="3"/>
      <c r="M68" s="3"/>
    </row>
    <row r="69" spans="6:13" ht="11.25">
      <c r="F69" s="11"/>
      <c r="G69" s="11"/>
      <c r="L69" s="3"/>
      <c r="M69" s="3"/>
    </row>
    <row r="70" spans="1:12" ht="11.25">
      <c r="A70" s="2" t="s">
        <v>4</v>
      </c>
      <c r="B70" s="16" t="s">
        <v>64</v>
      </c>
      <c r="D70" s="3">
        <v>56760</v>
      </c>
      <c r="I70" s="17"/>
      <c r="J70" s="17"/>
      <c r="K70" s="17"/>
      <c r="L70" s="17"/>
    </row>
    <row r="71" spans="1:12" ht="11.25">
      <c r="A71" s="2"/>
      <c r="B71" s="16" t="s">
        <v>65</v>
      </c>
      <c r="D71" s="3">
        <v>7290</v>
      </c>
      <c r="I71" s="17"/>
      <c r="J71" s="17"/>
      <c r="K71" s="17"/>
      <c r="L71" s="17"/>
    </row>
    <row r="72" spans="1:12" ht="11.25">
      <c r="A72" s="2"/>
      <c r="B72" s="16" t="s">
        <v>82</v>
      </c>
      <c r="D72" s="39">
        <v>0.9148</v>
      </c>
      <c r="I72" s="17"/>
      <c r="J72" s="17"/>
      <c r="K72" s="17"/>
      <c r="L72" s="17"/>
    </row>
    <row r="73" spans="2:12" ht="11.25" customHeight="1">
      <c r="B73" s="16" t="s">
        <v>52</v>
      </c>
      <c r="D73" s="39">
        <v>6669.9913</v>
      </c>
      <c r="I73" s="17">
        <f>I179</f>
        <v>0.7588</v>
      </c>
      <c r="K73" s="17"/>
      <c r="L73" s="17"/>
    </row>
    <row r="74" spans="4:12" ht="11.25" customHeight="1">
      <c r="D74" s="3"/>
      <c r="K74" s="17"/>
      <c r="L74" s="17"/>
    </row>
    <row r="75" spans="2:12" ht="11.25" customHeight="1">
      <c r="B75" s="16" t="s">
        <v>30</v>
      </c>
      <c r="D75" s="38">
        <f>55170.7-1957.7-Formazione!F12</f>
        <v>50990</v>
      </c>
      <c r="E75" s="29" t="s">
        <v>58</v>
      </c>
      <c r="K75" s="17"/>
      <c r="L75" s="17"/>
    </row>
    <row r="76" ht="11.25" customHeight="1">
      <c r="L76" s="3"/>
    </row>
    <row r="77" spans="1:12" ht="11.25">
      <c r="A77" s="4" t="s">
        <v>0</v>
      </c>
      <c r="B77" s="16">
        <f>ROUND(D$179/F$179*100,2)</f>
        <v>94.88</v>
      </c>
      <c r="C77" s="3">
        <f>ROUND(D73*I$73*B77/100,0)</f>
        <v>4802</v>
      </c>
      <c r="D77" s="11">
        <f>ROUND(D$75/D$73*1000,2)</f>
        <v>7644.69</v>
      </c>
      <c r="E77" s="11">
        <v>3407</v>
      </c>
      <c r="F77" s="11">
        <f>D77-E77</f>
        <v>4237.69</v>
      </c>
      <c r="G77" s="11">
        <f>F77/D77*100</f>
        <v>55.43311762805293</v>
      </c>
      <c r="H77" s="3">
        <f>ROUND(F77*C77,-2)</f>
        <v>20349400</v>
      </c>
      <c r="L77" s="3"/>
    </row>
    <row r="78" spans="1:12" ht="11.25">
      <c r="A78" s="4" t="s">
        <v>1</v>
      </c>
      <c r="B78" s="16">
        <f>ROUND(E$179/F$179*100,2)</f>
        <v>5.12</v>
      </c>
      <c r="C78" s="3">
        <f>ROUND(D73*I$73*B78/100,0)</f>
        <v>259</v>
      </c>
      <c r="D78" s="11">
        <f>ROUND(D$75/D$73*1000,2)</f>
        <v>7644.69</v>
      </c>
      <c r="E78" s="11">
        <v>6110</v>
      </c>
      <c r="F78" s="11">
        <f>D78-E78</f>
        <v>1534.6899999999996</v>
      </c>
      <c r="G78" s="11">
        <f>F78/D78*100</f>
        <v>20.0752417691234</v>
      </c>
      <c r="H78" s="3">
        <f>ROUND(F78*C78,-2)</f>
        <v>397500</v>
      </c>
      <c r="L78" s="3"/>
    </row>
    <row r="79" spans="1:12" ht="11.25">
      <c r="A79" s="4" t="s">
        <v>42</v>
      </c>
      <c r="B79" s="16">
        <f>SUM(B77:B78)</f>
        <v>100</v>
      </c>
      <c r="C79" s="3">
        <f>SUM(C77:C78)</f>
        <v>5061</v>
      </c>
      <c r="D79" s="11">
        <f>ROUND(D$75/D$73*1000,2)</f>
        <v>7644.69</v>
      </c>
      <c r="E79" s="11">
        <f>ROUND((E77*B77+E78*B78)/B79,2)</f>
        <v>3545.39</v>
      </c>
      <c r="F79" s="11">
        <f>D79-E79</f>
        <v>4099.299999999999</v>
      </c>
      <c r="G79" s="11">
        <f>F79/D79*100</f>
        <v>53.62284147558631</v>
      </c>
      <c r="H79" s="3">
        <f>SUM(H77:H78)</f>
        <v>20746900</v>
      </c>
      <c r="I79" s="10"/>
      <c r="J79" s="3">
        <f>H79</f>
        <v>20746900</v>
      </c>
      <c r="L79" s="3"/>
    </row>
    <row r="80" spans="8:12" ht="11.25">
      <c r="H80" s="27"/>
      <c r="I80" s="10"/>
      <c r="L80" s="3"/>
    </row>
    <row r="81" spans="1:12" ht="11.25">
      <c r="A81" s="4" t="s">
        <v>21</v>
      </c>
      <c r="C81" s="3">
        <f>'Pronto soccorso'!F30</f>
        <v>21507</v>
      </c>
      <c r="F81" s="39">
        <f>'Pronto soccorso'!$C$42</f>
        <v>29.8258</v>
      </c>
      <c r="G81" s="11"/>
      <c r="J81" s="3">
        <f>ROUND(C81*F81,-2)</f>
        <v>641500</v>
      </c>
      <c r="L81" s="3"/>
    </row>
    <row r="82" spans="1:12" ht="11.25">
      <c r="A82" s="4" t="s">
        <v>22</v>
      </c>
      <c r="F82" s="11"/>
      <c r="G82" s="11"/>
      <c r="J82" s="3">
        <f>Formazione!F12*1000</f>
        <v>2223000</v>
      </c>
      <c r="L82" s="3"/>
    </row>
    <row r="83" spans="1:12" ht="11.25">
      <c r="A83" s="4" t="s">
        <v>23</v>
      </c>
      <c r="F83" s="11"/>
      <c r="G83" s="11"/>
      <c r="J83" s="3">
        <f>CPF!E8</f>
        <v>200600</v>
      </c>
      <c r="L83" s="3"/>
    </row>
    <row r="84" spans="1:12" ht="11.25">
      <c r="A84" s="4" t="s">
        <v>24</v>
      </c>
      <c r="F84" s="11"/>
      <c r="G84" s="11"/>
      <c r="J84" s="3">
        <v>277700</v>
      </c>
      <c r="L84" s="3"/>
    </row>
    <row r="85" spans="1:11" ht="11.25">
      <c r="A85" s="4" t="s">
        <v>25</v>
      </c>
      <c r="F85" s="11"/>
      <c r="G85" s="11"/>
      <c r="J85" s="59">
        <v>2473500</v>
      </c>
      <c r="K85" s="12"/>
    </row>
    <row r="86" spans="6:13" ht="11.25">
      <c r="F86" s="11"/>
      <c r="G86" s="11"/>
      <c r="J86" s="12">
        <f>SUM(J79:J85)</f>
        <v>26563200</v>
      </c>
      <c r="K86" s="12">
        <f>ROUND(J86*1,-2)</f>
        <v>26563200</v>
      </c>
      <c r="L86" s="12">
        <v>26047700</v>
      </c>
      <c r="M86" s="3"/>
    </row>
    <row r="87" spans="6:12" ht="11.25">
      <c r="F87" s="11"/>
      <c r="G87" s="11"/>
      <c r="L87" s="3"/>
    </row>
    <row r="88" spans="1:12" ht="11.25">
      <c r="A88" s="2" t="s">
        <v>5</v>
      </c>
      <c r="B88" s="16" t="s">
        <v>54</v>
      </c>
      <c r="D88" s="3">
        <v>18228</v>
      </c>
      <c r="I88" s="17"/>
      <c r="J88" s="17"/>
      <c r="K88" s="17"/>
      <c r="L88" s="17"/>
    </row>
    <row r="89" spans="1:12" ht="11.25">
      <c r="A89" s="2"/>
      <c r="B89" s="16" t="s">
        <v>56</v>
      </c>
      <c r="D89" s="59">
        <v>8776</v>
      </c>
      <c r="E89" s="3"/>
      <c r="I89" s="17">
        <f>I195</f>
        <v>0.6269</v>
      </c>
      <c r="J89" s="17"/>
      <c r="K89" s="17"/>
      <c r="L89" s="17"/>
    </row>
    <row r="90" spans="1:12" ht="11.25">
      <c r="A90" s="2"/>
      <c r="D90" s="3"/>
      <c r="I90" s="17"/>
      <c r="J90" s="17"/>
      <c r="K90" s="17"/>
      <c r="L90" s="17"/>
    </row>
    <row r="91" spans="1:12" ht="11.25">
      <c r="A91" s="2"/>
      <c r="B91" s="16" t="s">
        <v>53</v>
      </c>
      <c r="D91" s="3">
        <v>1235</v>
      </c>
      <c r="I91" s="17"/>
      <c r="J91" s="17"/>
      <c r="K91" s="17"/>
      <c r="L91" s="17"/>
    </row>
    <row r="92" spans="1:12" ht="11.25">
      <c r="A92" s="2"/>
      <c r="B92" s="16" t="s">
        <v>57</v>
      </c>
      <c r="D92" s="59">
        <v>388</v>
      </c>
      <c r="E92" s="3"/>
      <c r="I92" s="17"/>
      <c r="J92" s="17"/>
      <c r="K92" s="17"/>
      <c r="L92" s="17"/>
    </row>
    <row r="93" spans="1:12" ht="11.25">
      <c r="A93" s="2"/>
      <c r="D93" s="3"/>
      <c r="I93" s="17"/>
      <c r="J93" s="17"/>
      <c r="K93" s="17"/>
      <c r="L93" s="17"/>
    </row>
    <row r="94" spans="1:12" ht="11.25">
      <c r="A94" s="2"/>
      <c r="B94" s="16" t="s">
        <v>82</v>
      </c>
      <c r="D94" s="39">
        <v>0.9901</v>
      </c>
      <c r="I94" s="17"/>
      <c r="J94" s="17"/>
      <c r="K94" s="17"/>
      <c r="L94" s="17"/>
    </row>
    <row r="95" spans="1:12" ht="11.25">
      <c r="A95" s="2"/>
      <c r="B95" s="16" t="s">
        <v>52</v>
      </c>
      <c r="D95" s="39">
        <v>961.3671</v>
      </c>
      <c r="I95" s="17">
        <f>I180</f>
        <v>0.747</v>
      </c>
      <c r="J95" s="17"/>
      <c r="K95" s="17"/>
      <c r="L95" s="17"/>
    </row>
    <row r="96" spans="1:12" ht="11.25">
      <c r="A96" s="2"/>
      <c r="D96" s="3"/>
      <c r="I96" s="17"/>
      <c r="J96" s="17"/>
      <c r="K96" s="17"/>
      <c r="L96" s="17"/>
    </row>
    <row r="97" spans="2:12" ht="11.25" customHeight="1">
      <c r="B97" s="16" t="s">
        <v>30</v>
      </c>
      <c r="D97" s="60">
        <f>9861.7-113.8-6.6-Formazione!F13-3992.7</f>
        <v>5697.400000000001</v>
      </c>
      <c r="E97" s="29" t="s">
        <v>58</v>
      </c>
      <c r="K97" s="17"/>
      <c r="L97" s="17"/>
    </row>
    <row r="98" spans="4:12" ht="11.25" customHeight="1">
      <c r="D98" s="61"/>
      <c r="E98" s="29"/>
      <c r="K98" s="17"/>
      <c r="L98" s="17"/>
    </row>
    <row r="99" spans="2:12" ht="11.25" customHeight="1">
      <c r="B99" s="16" t="s">
        <v>55</v>
      </c>
      <c r="D99" s="60">
        <f>3992.7-20.2-1.1-Formazione!F14</f>
        <v>3936.7000000000003</v>
      </c>
      <c r="E99" s="29" t="s">
        <v>58</v>
      </c>
      <c r="K99" s="17"/>
      <c r="L99" s="17"/>
    </row>
    <row r="100" ht="11.25" customHeight="1">
      <c r="L100" s="3"/>
    </row>
    <row r="101" spans="1:12" ht="11.25">
      <c r="A101" s="4" t="s">
        <v>0</v>
      </c>
      <c r="B101" s="16">
        <f>ROUND(D$180/F$180*100,2)</f>
        <v>99.01</v>
      </c>
      <c r="C101" s="3">
        <f>ROUND(D$95*I$95*B101/100,0)</f>
        <v>711</v>
      </c>
      <c r="D101" s="11">
        <f>ROUND(D$97/(D$95)*1000,2)</f>
        <v>5926.35</v>
      </c>
      <c r="E101" s="11">
        <v>3449</v>
      </c>
      <c r="F101" s="11">
        <f>D101-E101</f>
        <v>2477.3500000000004</v>
      </c>
      <c r="G101" s="11">
        <f>F101/D101*100</f>
        <v>41.80228977363808</v>
      </c>
      <c r="H101" s="3">
        <f>ROUND(F101*C101,-2)</f>
        <v>1761400</v>
      </c>
      <c r="L101" s="3"/>
    </row>
    <row r="102" spans="1:12" ht="11.25">
      <c r="A102" s="4" t="s">
        <v>1</v>
      </c>
      <c r="B102" s="16">
        <f>ROUND(E$180/F$180*100,2)</f>
        <v>0.99</v>
      </c>
      <c r="C102" s="3">
        <f>ROUND(D$95*I$95*B102/100,0)</f>
        <v>7</v>
      </c>
      <c r="D102" s="11">
        <f>ROUND(D$97/(D$95)*1000,2)</f>
        <v>5926.35</v>
      </c>
      <c r="E102" s="11">
        <v>6382</v>
      </c>
      <c r="F102" s="11">
        <f>D102-E102</f>
        <v>-455.64999999999964</v>
      </c>
      <c r="G102" s="11">
        <f>F102/D102*100</f>
        <v>-7.688543538603013</v>
      </c>
      <c r="H102" s="3">
        <f>ROUND(F102*C102,-2)</f>
        <v>-3200</v>
      </c>
      <c r="L102" s="3"/>
    </row>
    <row r="103" spans="1:12" ht="11.25">
      <c r="A103" s="4" t="s">
        <v>42</v>
      </c>
      <c r="B103" s="16">
        <f>SUM(B101:B102)</f>
        <v>100</v>
      </c>
      <c r="C103" s="3">
        <f>SUM(C101:C102)</f>
        <v>718</v>
      </c>
      <c r="D103" s="11">
        <f>ROUND(D$97/(D$95)*1000,2)</f>
        <v>5926.35</v>
      </c>
      <c r="E103" s="11">
        <f>ROUND((E101*B101+E102*B102)/B103,2)</f>
        <v>3478.04</v>
      </c>
      <c r="F103" s="11">
        <f>D103-E103</f>
        <v>2448.3100000000004</v>
      </c>
      <c r="G103" s="11">
        <f>F103/D103*100</f>
        <v>41.31227484033174</v>
      </c>
      <c r="H103" s="3">
        <f>SUM(H101:H102)</f>
        <v>1758200</v>
      </c>
      <c r="I103" s="10"/>
      <c r="J103" s="3">
        <f>H103</f>
        <v>1758200</v>
      </c>
      <c r="L103" s="3"/>
    </row>
    <row r="104" spans="4:12" ht="11.25">
      <c r="D104" s="11"/>
      <c r="E104" s="11"/>
      <c r="F104" s="11"/>
      <c r="G104" s="11"/>
      <c r="I104" s="10"/>
      <c r="L104" s="3"/>
    </row>
    <row r="105" spans="1:12" ht="11.25">
      <c r="A105" s="4" t="s">
        <v>0</v>
      </c>
      <c r="B105" s="16">
        <f>ROUND(D$195/F$195*100,2)</f>
        <v>91.74</v>
      </c>
      <c r="C105" s="3">
        <f>ROUND(B$209*I$89*B105/100,0)</f>
        <v>3665</v>
      </c>
      <c r="D105" s="11">
        <f>ROUND(D$99/(D$89)*1000,2)</f>
        <v>448.58</v>
      </c>
      <c r="E105" s="11">
        <v>194</v>
      </c>
      <c r="F105" s="11">
        <f>D105-E105</f>
        <v>254.57999999999998</v>
      </c>
      <c r="G105" s="11">
        <f>F105/D105*100</f>
        <v>56.75241874359088</v>
      </c>
      <c r="H105" s="3">
        <f>ROUND(F105*C105,-2)</f>
        <v>933000</v>
      </c>
      <c r="L105" s="3"/>
    </row>
    <row r="106" spans="1:12" ht="11.25">
      <c r="A106" s="4" t="s">
        <v>1</v>
      </c>
      <c r="B106" s="16">
        <f>ROUND(E$195/F$195*100,2)</f>
        <v>8.26</v>
      </c>
      <c r="C106" s="3">
        <f>ROUND(B$209*I$89*B106/100,0)</f>
        <v>330</v>
      </c>
      <c r="D106" s="11">
        <f>ROUND(D$99/(D$89)*1000,2)</f>
        <v>448.58</v>
      </c>
      <c r="E106" s="11">
        <v>404</v>
      </c>
      <c r="F106" s="11">
        <f>D106-E106</f>
        <v>44.579999999999984</v>
      </c>
      <c r="G106" s="11">
        <f>F106/D106*100</f>
        <v>9.938026661910916</v>
      </c>
      <c r="H106" s="3">
        <f>ROUND(F106*C106,-2)</f>
        <v>14700</v>
      </c>
      <c r="L106" s="3"/>
    </row>
    <row r="107" spans="1:12" ht="11.25">
      <c r="A107" s="4" t="s">
        <v>42</v>
      </c>
      <c r="B107" s="16">
        <f>SUM(B105:B106)</f>
        <v>100</v>
      </c>
      <c r="C107" s="3">
        <f>SUM(C105:C106)</f>
        <v>3995</v>
      </c>
      <c r="D107" s="11">
        <f>ROUND(D$99/(D$89)*1000,2)</f>
        <v>448.58</v>
      </c>
      <c r="E107" s="11">
        <f>ROUND((E105*B105+E106*B106)/B107,2)</f>
        <v>211.35</v>
      </c>
      <c r="F107" s="11">
        <f>D107-E107</f>
        <v>237.23</v>
      </c>
      <c r="G107" s="11">
        <f>F107/D107*100</f>
        <v>52.8846582549378</v>
      </c>
      <c r="H107" s="3">
        <f>SUM(H105:H106)</f>
        <v>947700</v>
      </c>
      <c r="I107" s="10"/>
      <c r="J107" s="3">
        <f>H107</f>
        <v>947700</v>
      </c>
      <c r="L107" s="3"/>
    </row>
    <row r="108" spans="8:12" ht="11.25">
      <c r="H108" s="27"/>
      <c r="I108" s="10"/>
      <c r="L108" s="3"/>
    </row>
    <row r="109" spans="1:13" ht="11.25">
      <c r="A109" s="4" t="s">
        <v>21</v>
      </c>
      <c r="C109" s="3">
        <f>'Pronto soccorso'!F32</f>
        <v>2194</v>
      </c>
      <c r="F109" s="39">
        <f>'Pronto soccorso'!$C$42</f>
        <v>29.8258</v>
      </c>
      <c r="G109" s="11"/>
      <c r="I109" s="3"/>
      <c r="J109" s="3">
        <f>ROUND(C109*F109,-2)</f>
        <v>65400</v>
      </c>
      <c r="L109" s="3"/>
      <c r="M109" s="3"/>
    </row>
    <row r="110" spans="1:12" ht="11.25">
      <c r="A110" s="4" t="s">
        <v>22</v>
      </c>
      <c r="F110" s="11"/>
      <c r="G110" s="11"/>
      <c r="J110" s="3">
        <f>Formazione!F13*1000+Formazione!F14*1000</f>
        <v>85900</v>
      </c>
      <c r="L110" s="3"/>
    </row>
    <row r="111" spans="1:12" ht="11.25">
      <c r="A111" s="4" t="s">
        <v>23</v>
      </c>
      <c r="F111" s="11"/>
      <c r="G111" s="11"/>
      <c r="L111" s="3"/>
    </row>
    <row r="112" spans="1:12" ht="11.25">
      <c r="A112" s="4" t="s">
        <v>24</v>
      </c>
      <c r="F112" s="11"/>
      <c r="G112" s="11"/>
      <c r="J112" s="59">
        <v>169800</v>
      </c>
      <c r="L112" s="3"/>
    </row>
    <row r="113" spans="1:10" ht="11.25">
      <c r="A113" s="4" t="s">
        <v>25</v>
      </c>
      <c r="F113" s="11"/>
      <c r="G113" s="11"/>
      <c r="J113" s="59">
        <v>1253300</v>
      </c>
    </row>
    <row r="114" spans="10:13" ht="11.25">
      <c r="J114" s="12">
        <f>SUM(J103:J113)</f>
        <v>4280300</v>
      </c>
      <c r="K114" s="12">
        <f>ROUND(J114*1,-2)</f>
        <v>4280300</v>
      </c>
      <c r="L114" s="12">
        <v>5064700</v>
      </c>
      <c r="M114" s="3"/>
    </row>
    <row r="115" ht="11.25">
      <c r="L115" s="3"/>
    </row>
    <row r="116" ht="11.25">
      <c r="L116" s="3"/>
    </row>
    <row r="117" ht="11.25">
      <c r="L117" s="3"/>
    </row>
    <row r="118" spans="1:12" ht="11.25">
      <c r="A118" s="2" t="s">
        <v>6</v>
      </c>
      <c r="B118" s="16" t="s">
        <v>54</v>
      </c>
      <c r="D118" s="3">
        <v>15764</v>
      </c>
      <c r="I118" s="17"/>
      <c r="J118" s="17"/>
      <c r="K118" s="17"/>
      <c r="L118" s="17"/>
    </row>
    <row r="119" spans="1:12" ht="11.25">
      <c r="A119" s="2"/>
      <c r="B119" s="16" t="s">
        <v>53</v>
      </c>
      <c r="D119" s="3">
        <v>1035</v>
      </c>
      <c r="I119" s="17"/>
      <c r="J119" s="17"/>
      <c r="K119" s="17"/>
      <c r="L119" s="17"/>
    </row>
    <row r="120" spans="1:12" ht="11.25">
      <c r="A120" s="2"/>
      <c r="B120" s="16" t="s">
        <v>82</v>
      </c>
      <c r="D120" s="39">
        <v>1.2398</v>
      </c>
      <c r="I120" s="17"/>
      <c r="J120" s="17"/>
      <c r="K120" s="17"/>
      <c r="L120" s="17"/>
    </row>
    <row r="121" spans="1:12" ht="11.25">
      <c r="A121" s="2"/>
      <c r="B121" s="16" t="s">
        <v>52</v>
      </c>
      <c r="D121" s="39">
        <v>1291.8936</v>
      </c>
      <c r="I121" s="17">
        <f>I181</f>
        <v>0.7985</v>
      </c>
      <c r="J121" s="17"/>
      <c r="K121" s="17"/>
      <c r="L121" s="17"/>
    </row>
    <row r="122" spans="1:12" ht="11.25">
      <c r="A122" s="2"/>
      <c r="D122" s="3"/>
      <c r="I122" s="17"/>
      <c r="J122" s="17"/>
      <c r="K122" s="17"/>
      <c r="L122" s="17"/>
    </row>
    <row r="123" spans="2:12" ht="11.25" customHeight="1">
      <c r="B123" s="16" t="s">
        <v>30</v>
      </c>
      <c r="D123" s="38">
        <f>9946.4-112.8-Formazione!F15</f>
        <v>9755.6</v>
      </c>
      <c r="E123" s="29" t="s">
        <v>58</v>
      </c>
      <c r="K123" s="17"/>
      <c r="L123" s="17"/>
    </row>
    <row r="124" ht="11.25" customHeight="1">
      <c r="L124" s="3"/>
    </row>
    <row r="125" spans="1:12" ht="11.25">
      <c r="A125" s="4" t="s">
        <v>0</v>
      </c>
      <c r="B125" s="16">
        <f>ROUND(D$181/F$181*100,2)</f>
        <v>99.86</v>
      </c>
      <c r="C125" s="3">
        <f>ROUND(D$121*I$121*B125/100,0)</f>
        <v>1030</v>
      </c>
      <c r="D125" s="11">
        <f>ROUND(D$123/(D$121)*1000,2)</f>
        <v>7551.4</v>
      </c>
      <c r="E125" s="11">
        <v>3449</v>
      </c>
      <c r="F125" s="11">
        <f>D125-E125</f>
        <v>4102.4</v>
      </c>
      <c r="G125" s="11">
        <f>F125/D125*100</f>
        <v>54.32635008077972</v>
      </c>
      <c r="H125" s="3">
        <f>ROUND(F125*C125,-2)</f>
        <v>4225500</v>
      </c>
      <c r="L125" s="3"/>
    </row>
    <row r="126" spans="1:12" ht="11.25">
      <c r="A126" s="4" t="s">
        <v>1</v>
      </c>
      <c r="B126" s="16">
        <f>ROUND(E$181/F$181*100,2)</f>
        <v>0.14</v>
      </c>
      <c r="C126" s="3">
        <f>ROUND(D$121*I$121*B126/100,0)</f>
        <v>1</v>
      </c>
      <c r="D126" s="11">
        <f>ROUND(D$123/(D$121)*1000,2)</f>
        <v>7551.4</v>
      </c>
      <c r="E126" s="11">
        <v>6382</v>
      </c>
      <c r="F126" s="11">
        <f>D126-E126</f>
        <v>1169.3999999999996</v>
      </c>
      <c r="G126" s="11">
        <f>F126/D126*100</f>
        <v>15.48587016976984</v>
      </c>
      <c r="H126" s="3">
        <f>ROUND(F126*C126,-2)</f>
        <v>1200</v>
      </c>
      <c r="L126" s="3"/>
    </row>
    <row r="127" spans="1:12" ht="11.25">
      <c r="A127" s="4" t="s">
        <v>42</v>
      </c>
      <c r="B127" s="16">
        <f>SUM(B125:B126)</f>
        <v>100</v>
      </c>
      <c r="C127" s="3">
        <f>SUM(C125:C126)</f>
        <v>1031</v>
      </c>
      <c r="D127" s="11">
        <f>ROUND(D$123/(D$121)*1000,2)</f>
        <v>7551.4</v>
      </c>
      <c r="E127" s="11">
        <f>ROUND((E125*B125+E126*B126)/B127,2)</f>
        <v>3453.11</v>
      </c>
      <c r="F127" s="11">
        <f>D127-E127</f>
        <v>4098.289999999999</v>
      </c>
      <c r="G127" s="11">
        <f>F127/D127*100</f>
        <v>54.27192308710966</v>
      </c>
      <c r="H127" s="3">
        <f>SUM(H125:H126)</f>
        <v>4226700</v>
      </c>
      <c r="I127" s="10"/>
      <c r="J127" s="3">
        <f>H127</f>
        <v>4226700</v>
      </c>
      <c r="L127" s="3"/>
    </row>
    <row r="128" spans="8:12" ht="11.25">
      <c r="H128" s="27"/>
      <c r="I128" s="10"/>
      <c r="L128" s="3"/>
    </row>
    <row r="129" spans="1:12" ht="11.25">
      <c r="A129" s="4" t="s">
        <v>21</v>
      </c>
      <c r="C129" s="3">
        <f>'Pronto soccorso'!F34</f>
        <v>3940</v>
      </c>
      <c r="F129" s="39">
        <f>'Pronto soccorso'!$C$42</f>
        <v>29.8258</v>
      </c>
      <c r="J129" s="3">
        <f>ROUND(C129*F129,-2)</f>
        <v>117500</v>
      </c>
      <c r="L129" s="3"/>
    </row>
    <row r="130" spans="1:12" ht="11.25">
      <c r="A130" s="4" t="s">
        <v>22</v>
      </c>
      <c r="J130" s="3">
        <f>Formazione!F15*1000</f>
        <v>78000</v>
      </c>
      <c r="L130" s="3"/>
    </row>
    <row r="131" spans="1:12" ht="11.25">
      <c r="A131" s="4" t="s">
        <v>23</v>
      </c>
      <c r="L131" s="3"/>
    </row>
    <row r="132" spans="1:12" ht="11.25">
      <c r="A132" s="4" t="s">
        <v>24</v>
      </c>
      <c r="J132" s="3">
        <v>37300</v>
      </c>
      <c r="L132" s="3"/>
    </row>
    <row r="133" spans="1:11" ht="11.25">
      <c r="A133" s="4" t="s">
        <v>25</v>
      </c>
      <c r="J133" s="59">
        <v>393400</v>
      </c>
      <c r="K133" s="12"/>
    </row>
    <row r="134" spans="10:13" ht="11.25">
      <c r="J134" s="12">
        <f>SUM(J127:J133)</f>
        <v>4852900</v>
      </c>
      <c r="K134" s="12">
        <f>ROUND(J134*1,-2)</f>
        <v>4852900</v>
      </c>
      <c r="L134" s="12">
        <v>5346800</v>
      </c>
      <c r="M134" s="3"/>
    </row>
    <row r="135" spans="10:11" ht="11.25">
      <c r="J135" s="12"/>
      <c r="K135" s="12"/>
    </row>
    <row r="136" spans="1:12" ht="11.25">
      <c r="A136" s="2" t="s">
        <v>47</v>
      </c>
      <c r="B136" s="16" t="s">
        <v>54</v>
      </c>
      <c r="D136" s="3">
        <v>20511</v>
      </c>
      <c r="I136" s="17">
        <f>I197</f>
        <v>0.6482</v>
      </c>
      <c r="J136" s="17"/>
      <c r="K136" s="17"/>
      <c r="L136" s="17"/>
    </row>
    <row r="137" spans="1:12" ht="11.25">
      <c r="A137" s="2"/>
      <c r="B137" s="16" t="s">
        <v>53</v>
      </c>
      <c r="D137" s="3">
        <v>918</v>
      </c>
      <c r="I137" s="17"/>
      <c r="J137" s="17"/>
      <c r="K137" s="17"/>
      <c r="L137" s="17"/>
    </row>
    <row r="138" spans="1:12" ht="11.25">
      <c r="A138" s="2"/>
      <c r="D138" s="3"/>
      <c r="I138" s="17"/>
      <c r="J138" s="17"/>
      <c r="K138" s="17"/>
      <c r="L138" s="17"/>
    </row>
    <row r="139" spans="2:12" ht="11.25" customHeight="1">
      <c r="B139" s="16" t="s">
        <v>30</v>
      </c>
      <c r="D139" s="38">
        <f>9848.2-Formazione!F16</f>
        <v>9760.900000000001</v>
      </c>
      <c r="E139" s="29" t="s">
        <v>58</v>
      </c>
      <c r="K139" s="17"/>
      <c r="L139" s="17"/>
    </row>
    <row r="140" ht="11.25" customHeight="1">
      <c r="L140" s="3"/>
    </row>
    <row r="141" spans="1:12" ht="11.25">
      <c r="A141" s="4" t="s">
        <v>0</v>
      </c>
      <c r="B141" s="16">
        <f>ROUND(D$197/F$197*100,2)</f>
        <v>87.52</v>
      </c>
      <c r="C141" s="3">
        <f>ROUND(D$136*I$136*B141/100,0)</f>
        <v>11636</v>
      </c>
      <c r="D141" s="11">
        <f>ROUND(D$139/(D$136)*1000,2)</f>
        <v>475.89</v>
      </c>
      <c r="E141" s="11">
        <v>194</v>
      </c>
      <c r="F141" s="11">
        <f>D141-E141</f>
        <v>281.89</v>
      </c>
      <c r="G141" s="11">
        <f>F141/D141*100</f>
        <v>59.2342768286789</v>
      </c>
      <c r="H141" s="3">
        <f>ROUND(F141*C141,-2)</f>
        <v>3280100</v>
      </c>
      <c r="L141" s="3"/>
    </row>
    <row r="142" spans="1:12" ht="11.25">
      <c r="A142" s="4" t="s">
        <v>1</v>
      </c>
      <c r="B142" s="16">
        <f>ROUND(E$197/F$197*100,2)</f>
        <v>12.48</v>
      </c>
      <c r="C142" s="3">
        <f>ROUND(D$136*I$136*B142/100,0)</f>
        <v>1659</v>
      </c>
      <c r="D142" s="11">
        <f>ROUND(D$139/(D$136)*1000,2)</f>
        <v>475.89</v>
      </c>
      <c r="E142" s="11">
        <v>404</v>
      </c>
      <c r="F142" s="11">
        <f>D142-E142</f>
        <v>71.88999999999999</v>
      </c>
      <c r="G142" s="11">
        <f>F142/D142*100</f>
        <v>15.106432158692131</v>
      </c>
      <c r="H142" s="3">
        <f>ROUND(F142*C142,-2)</f>
        <v>119300</v>
      </c>
      <c r="L142" s="3"/>
    </row>
    <row r="143" spans="1:12" ht="11.25">
      <c r="A143" s="4" t="s">
        <v>42</v>
      </c>
      <c r="B143" s="16">
        <f>SUM(B141:B142)</f>
        <v>100</v>
      </c>
      <c r="C143" s="3">
        <f>SUM(C141:C142)</f>
        <v>13295</v>
      </c>
      <c r="D143" s="11">
        <f>ROUND(D$139/(D$136)*1000,2)</f>
        <v>475.89</v>
      </c>
      <c r="E143" s="11">
        <f>ROUND((E141*B141+E142*B142)/B143,2)</f>
        <v>220.21</v>
      </c>
      <c r="F143" s="11">
        <f>D143-E143</f>
        <v>255.67999999999998</v>
      </c>
      <c r="G143" s="11">
        <f>F143/D143*100</f>
        <v>53.72670154867721</v>
      </c>
      <c r="H143" s="3">
        <f>SUM(H141:H142)</f>
        <v>3399400</v>
      </c>
      <c r="I143" s="10"/>
      <c r="J143" s="3">
        <f>H143</f>
        <v>3399400</v>
      </c>
      <c r="L143" s="3"/>
    </row>
    <row r="144" spans="8:12" ht="11.25">
      <c r="H144" s="27"/>
      <c r="I144" s="10"/>
      <c r="L144" s="3"/>
    </row>
    <row r="145" spans="1:12" ht="11.25">
      <c r="A145" s="4" t="s">
        <v>21</v>
      </c>
      <c r="F145" s="11"/>
      <c r="L145" s="3"/>
    </row>
    <row r="146" spans="1:12" ht="11.25">
      <c r="A146" s="4" t="s">
        <v>22</v>
      </c>
      <c r="J146" s="3">
        <f>Formazione!F16*1000</f>
        <v>87300</v>
      </c>
      <c r="L146" s="3"/>
    </row>
    <row r="147" spans="1:12" ht="11.25">
      <c r="A147" s="4" t="s">
        <v>23</v>
      </c>
      <c r="L147" s="3"/>
    </row>
    <row r="148" spans="1:12" ht="11.25">
      <c r="A148" s="4" t="s">
        <v>24</v>
      </c>
      <c r="J148" s="3">
        <v>8100</v>
      </c>
      <c r="L148" s="3"/>
    </row>
    <row r="149" spans="1:11" ht="11.25">
      <c r="A149" s="4" t="s">
        <v>25</v>
      </c>
      <c r="J149" s="59">
        <v>130200</v>
      </c>
      <c r="K149" s="12"/>
    </row>
    <row r="150" spans="4:13" ht="11.25">
      <c r="D150" s="3"/>
      <c r="J150" s="12">
        <f>SUM(J143:J149)</f>
        <v>3625000</v>
      </c>
      <c r="K150" s="12">
        <f>ROUND(J150*1,-2)</f>
        <v>3625000</v>
      </c>
      <c r="L150" s="12">
        <v>3825200</v>
      </c>
      <c r="M150" s="3"/>
    </row>
    <row r="151" spans="12:13" ht="11.25">
      <c r="L151" s="3"/>
      <c r="M151" s="3"/>
    </row>
    <row r="152" ht="11.25">
      <c r="L152" s="3"/>
    </row>
    <row r="153" spans="1:12" ht="11.25">
      <c r="A153" s="2" t="s">
        <v>7</v>
      </c>
      <c r="B153" s="19"/>
      <c r="D153" s="38">
        <f>D123+D97+D75+D55+D37+D19+D139+D99</f>
        <v>307013.50000000006</v>
      </c>
      <c r="E153" s="29" t="s">
        <v>58</v>
      </c>
      <c r="L153" s="3"/>
    </row>
    <row r="154" ht="4.5" customHeight="1">
      <c r="L154" s="3"/>
    </row>
    <row r="155" spans="1:12" ht="11.25">
      <c r="A155" s="4" t="s">
        <v>0</v>
      </c>
      <c r="H155" s="3">
        <f>H21+H39+H57+H77+H101+H125+H141+H105</f>
        <v>118657500</v>
      </c>
      <c r="L155" s="3"/>
    </row>
    <row r="156" spans="1:12" ht="11.25">
      <c r="A156" s="4" t="s">
        <v>1</v>
      </c>
      <c r="H156" s="3">
        <f>H22+H40+H58+H78+H102+H126+H142+H106</f>
        <v>1933000</v>
      </c>
      <c r="L156" s="3"/>
    </row>
    <row r="157" spans="1:12" ht="11.25">
      <c r="A157" s="4" t="s">
        <v>42</v>
      </c>
      <c r="H157" s="3">
        <f>H23+H41+H59+H79+H103+H127+H143+H107</f>
        <v>120590500</v>
      </c>
      <c r="I157" s="10"/>
      <c r="J157" s="3">
        <f>H157</f>
        <v>120590500</v>
      </c>
      <c r="L157" s="3"/>
    </row>
    <row r="158" spans="8:12" ht="11.25">
      <c r="H158" s="27"/>
      <c r="I158" s="10"/>
      <c r="L158" s="3"/>
    </row>
    <row r="159" spans="1:12" ht="11.25">
      <c r="A159" s="4" t="s">
        <v>21</v>
      </c>
      <c r="J159" s="3">
        <f>J25+J43+J61+J81+J109+J129</f>
        <v>4251900</v>
      </c>
      <c r="L159" s="3"/>
    </row>
    <row r="160" spans="1:12" ht="11.25">
      <c r="A160" s="4" t="s">
        <v>22</v>
      </c>
      <c r="J160" s="3">
        <f>J26+J44+J62+J82+J110+J130+J146</f>
        <v>13982200</v>
      </c>
      <c r="L160" s="3"/>
    </row>
    <row r="161" spans="1:12" ht="11.25">
      <c r="A161" s="4" t="s">
        <v>23</v>
      </c>
      <c r="J161" s="3">
        <f>J27+J45+J63+J83+J111+J131</f>
        <v>927900</v>
      </c>
      <c r="L161" s="3"/>
    </row>
    <row r="162" spans="1:12" ht="11.25">
      <c r="A162" s="4" t="s">
        <v>24</v>
      </c>
      <c r="J162" s="3">
        <f>J28+J46+J64+J84+J112+J132+J148</f>
        <v>2162800</v>
      </c>
      <c r="L162" s="3"/>
    </row>
    <row r="163" spans="1:11" ht="11.25">
      <c r="A163" s="4" t="s">
        <v>25</v>
      </c>
      <c r="J163" s="3">
        <f>J29+J47+J65+J85+J113+J133+J149</f>
        <v>20766100</v>
      </c>
      <c r="K163" s="12"/>
    </row>
    <row r="164" spans="10:12" ht="11.25">
      <c r="J164" s="12">
        <f>J134+J114+J86+J66+J48+J30+J150</f>
        <v>162681400</v>
      </c>
      <c r="K164" s="12">
        <f>SUM(K14:K163)</f>
        <v>162681400</v>
      </c>
      <c r="L164" s="12">
        <f>SUM(L14:L163)</f>
        <v>164026600</v>
      </c>
    </row>
    <row r="165" spans="10:12" ht="11.25">
      <c r="J165" s="27"/>
      <c r="L165" s="3"/>
    </row>
    <row r="166" spans="1:13" ht="11.25">
      <c r="A166" s="4" t="s">
        <v>69</v>
      </c>
      <c r="K166" s="12">
        <v>259900</v>
      </c>
      <c r="L166" s="12">
        <v>259900</v>
      </c>
      <c r="M166" s="3"/>
    </row>
    <row r="167" ht="11.25">
      <c r="L167" s="3"/>
    </row>
    <row r="168" spans="1:13" s="2" customFormat="1" ht="11.25">
      <c r="A168" s="2" t="s">
        <v>91</v>
      </c>
      <c r="B168" s="19"/>
      <c r="C168" s="12"/>
      <c r="H168" s="12"/>
      <c r="I168" s="35"/>
      <c r="J168" s="12"/>
      <c r="K168" s="12">
        <f>SUM(K164:K167)</f>
        <v>162941300</v>
      </c>
      <c r="L168" s="12">
        <f>SUM(L164:L167)</f>
        <v>164286500</v>
      </c>
      <c r="M168" s="12"/>
    </row>
    <row r="169" ht="11.25"/>
    <row r="170" spans="1:12" ht="11.25">
      <c r="A170" s="2" t="s">
        <v>75</v>
      </c>
      <c r="L170" s="12">
        <f>K168-L168</f>
        <v>-1345200</v>
      </c>
    </row>
    <row r="171" spans="6:12" ht="11.25">
      <c r="F171" s="3"/>
      <c r="G171" s="3"/>
      <c r="I171" s="3"/>
      <c r="L171" s="3"/>
    </row>
    <row r="172" ht="11.25">
      <c r="L172" s="3"/>
    </row>
    <row r="173" spans="1:12" ht="11.25">
      <c r="A173" s="22" t="s">
        <v>90</v>
      </c>
      <c r="L173" s="3"/>
    </row>
    <row r="174" ht="11.25">
      <c r="L174" s="3"/>
    </row>
    <row r="175" spans="2:12" ht="11.25">
      <c r="B175" s="25" t="s">
        <v>67</v>
      </c>
      <c r="D175" s="23" t="s">
        <v>0</v>
      </c>
      <c r="E175" s="24" t="s">
        <v>1</v>
      </c>
      <c r="F175" s="25" t="s">
        <v>72</v>
      </c>
      <c r="H175" s="25"/>
      <c r="I175" s="4"/>
      <c r="L175" s="3"/>
    </row>
    <row r="176" spans="1:12" ht="11.25">
      <c r="A176" s="2" t="s">
        <v>14</v>
      </c>
      <c r="B176" s="73">
        <v>11989.8974</v>
      </c>
      <c r="C176" s="12"/>
      <c r="D176" s="73">
        <v>7959.3545</v>
      </c>
      <c r="E176" s="73">
        <v>338.3701</v>
      </c>
      <c r="F176" s="73">
        <f aca="true" t="shared" si="0" ref="F176:F181">SUM(D176:E176)</f>
        <v>8297.7246</v>
      </c>
      <c r="G176" s="2"/>
      <c r="H176" s="12"/>
      <c r="I176" s="51">
        <f aca="true" t="shared" si="1" ref="I176:I181">ROUND(F176/B176,4)</f>
        <v>0.6921</v>
      </c>
      <c r="L176" s="3"/>
    </row>
    <row r="177" spans="1:12" ht="11.25">
      <c r="A177" s="2" t="s">
        <v>2</v>
      </c>
      <c r="B177" s="74">
        <v>8935.6149</v>
      </c>
      <c r="C177" s="75"/>
      <c r="D177" s="74">
        <v>6167.813</v>
      </c>
      <c r="E177" s="74">
        <v>292.6634</v>
      </c>
      <c r="F177" s="74">
        <f t="shared" si="0"/>
        <v>6460.4764000000005</v>
      </c>
      <c r="G177" s="2"/>
      <c r="H177" s="12"/>
      <c r="I177" s="51">
        <f t="shared" si="1"/>
        <v>0.723</v>
      </c>
      <c r="L177" s="3"/>
    </row>
    <row r="178" spans="1:12" ht="11.25">
      <c r="A178" s="2" t="s">
        <v>3</v>
      </c>
      <c r="B178" s="73">
        <v>5328.4641</v>
      </c>
      <c r="C178" s="12"/>
      <c r="D178" s="73">
        <v>3660.4281</v>
      </c>
      <c r="E178" s="73">
        <v>113.9291</v>
      </c>
      <c r="F178" s="73">
        <f t="shared" si="0"/>
        <v>3774.3572</v>
      </c>
      <c r="G178" s="2"/>
      <c r="H178" s="12"/>
      <c r="I178" s="51">
        <f t="shared" si="1"/>
        <v>0.7083</v>
      </c>
      <c r="L178" s="3"/>
    </row>
    <row r="179" spans="1:12" ht="11.25">
      <c r="A179" s="2" t="s">
        <v>4</v>
      </c>
      <c r="B179" s="73">
        <v>6669.9913</v>
      </c>
      <c r="C179" s="12"/>
      <c r="D179" s="73">
        <v>4802.1197</v>
      </c>
      <c r="E179" s="73">
        <v>259.2356</v>
      </c>
      <c r="F179" s="73">
        <f t="shared" si="0"/>
        <v>5061.3553</v>
      </c>
      <c r="G179" s="2"/>
      <c r="H179" s="12"/>
      <c r="I179" s="51">
        <f t="shared" si="1"/>
        <v>0.7588</v>
      </c>
      <c r="L179" s="3"/>
    </row>
    <row r="180" spans="1:12" ht="11.25">
      <c r="A180" s="2" t="s">
        <v>5</v>
      </c>
      <c r="B180" s="73">
        <v>961.3671</v>
      </c>
      <c r="C180" s="12"/>
      <c r="D180" s="73">
        <v>711.0427</v>
      </c>
      <c r="E180" s="73">
        <v>7.1108</v>
      </c>
      <c r="F180" s="73">
        <f t="shared" si="0"/>
        <v>718.1535</v>
      </c>
      <c r="G180" s="2"/>
      <c r="H180" s="12"/>
      <c r="I180" s="51">
        <f t="shared" si="1"/>
        <v>0.747</v>
      </c>
      <c r="L180" s="3"/>
    </row>
    <row r="181" spans="1:12" ht="11.25">
      <c r="A181" s="2" t="s">
        <v>6</v>
      </c>
      <c r="B181" s="73">
        <v>1291.8936</v>
      </c>
      <c r="C181" s="12"/>
      <c r="D181" s="73">
        <v>1030.1634</v>
      </c>
      <c r="E181" s="73">
        <v>1.446</v>
      </c>
      <c r="F181" s="73">
        <f t="shared" si="0"/>
        <v>1031.6093999999998</v>
      </c>
      <c r="G181" s="2"/>
      <c r="H181" s="12"/>
      <c r="I181" s="51">
        <f t="shared" si="1"/>
        <v>0.7985</v>
      </c>
      <c r="L181" s="3"/>
    </row>
    <row r="182" spans="2:12" ht="11.25">
      <c r="B182" s="39"/>
      <c r="D182" s="39"/>
      <c r="E182" s="39"/>
      <c r="F182" s="3"/>
      <c r="I182" s="17"/>
      <c r="L182" s="3"/>
    </row>
    <row r="183" spans="1:12" ht="11.25">
      <c r="A183" s="4" t="s">
        <v>7</v>
      </c>
      <c r="B183" s="39">
        <f>SUM(B176:B182)</f>
        <v>35177.22840000001</v>
      </c>
      <c r="D183" s="39">
        <f>SUM(D176:D182)</f>
        <v>24330.921400000003</v>
      </c>
      <c r="E183" s="39">
        <f>SUM(E176:E182)</f>
        <v>1012.7550000000001</v>
      </c>
      <c r="F183" s="39">
        <f>SUM(F176:F182)</f>
        <v>25343.6764</v>
      </c>
      <c r="I183" s="17">
        <f>ROUND(F183/B183,4)</f>
        <v>0.7205</v>
      </c>
      <c r="L183" s="3"/>
    </row>
    <row r="184" spans="2:12" ht="11.25">
      <c r="B184" s="39"/>
      <c r="D184" s="44">
        <f>D183/F183</f>
        <v>0.9600391441235417</v>
      </c>
      <c r="E184" s="44">
        <f>E183/F183</f>
        <v>0.0399608558764584</v>
      </c>
      <c r="F184" s="44">
        <f>SUM(D184:E184)</f>
        <v>1.0000000000000002</v>
      </c>
      <c r="I184" s="17"/>
      <c r="L184" s="3"/>
    </row>
    <row r="185" spans="2:12" ht="11.25">
      <c r="B185" s="36"/>
      <c r="D185" s="16"/>
      <c r="E185" s="3"/>
      <c r="F185" s="3"/>
      <c r="L185" s="3"/>
    </row>
    <row r="186" spans="2:12" ht="11.25">
      <c r="B186" s="3"/>
      <c r="D186" s="3"/>
      <c r="E186" s="3"/>
      <c r="F186" s="3"/>
      <c r="G186" s="3"/>
      <c r="I186" s="17"/>
      <c r="L186" s="3"/>
    </row>
    <row r="187" ht="11.25">
      <c r="A187" s="22" t="s">
        <v>89</v>
      </c>
    </row>
    <row r="188" ht="11.25">
      <c r="A188" s="22"/>
    </row>
    <row r="189" spans="2:9" ht="11.25">
      <c r="B189" s="25" t="s">
        <v>66</v>
      </c>
      <c r="D189" s="23" t="s">
        <v>0</v>
      </c>
      <c r="E189" s="24" t="s">
        <v>92</v>
      </c>
      <c r="F189" s="25" t="s">
        <v>12</v>
      </c>
      <c r="H189" s="25"/>
      <c r="I189" s="4"/>
    </row>
    <row r="190" spans="1:9" ht="11.25">
      <c r="A190" s="4" t="s">
        <v>14</v>
      </c>
      <c r="B190" s="3">
        <v>99198</v>
      </c>
      <c r="D190" s="3">
        <f>701+64749+2+18+2867-28-95</f>
        <v>68214</v>
      </c>
      <c r="E190" s="3">
        <f>2078+22+15</f>
        <v>2115</v>
      </c>
      <c r="F190" s="3">
        <f>SUM(D190:E190)</f>
        <v>70329</v>
      </c>
      <c r="I190" s="17">
        <f>ROUND(F190/B190,4)</f>
        <v>0.709</v>
      </c>
    </row>
    <row r="191" spans="1:9" ht="11.25">
      <c r="A191" s="4" t="s">
        <v>2</v>
      </c>
      <c r="B191" s="3">
        <v>72851</v>
      </c>
      <c r="D191" s="3">
        <f>407+48502+6+2599-16-16-206</f>
        <v>51276</v>
      </c>
      <c r="E191" s="3">
        <f>853+61+1110</f>
        <v>2024</v>
      </c>
      <c r="F191" s="3">
        <f>SUM(D191:E191)</f>
        <v>53300</v>
      </c>
      <c r="I191" s="17">
        <f aca="true" t="shared" si="2" ref="I191:I199">ROUND(F191/B191,4)</f>
        <v>0.7316</v>
      </c>
    </row>
    <row r="192" spans="1:9" ht="11.25">
      <c r="A192" s="4" t="s">
        <v>3</v>
      </c>
      <c r="B192" s="3">
        <v>45722</v>
      </c>
      <c r="D192" s="3">
        <f>251+29846+2114-18-203</f>
        <v>31990</v>
      </c>
      <c r="E192" s="3">
        <f>606+32+184</f>
        <v>822</v>
      </c>
      <c r="F192" s="3">
        <f aca="true" t="shared" si="3" ref="F192:F197">SUM(D192:E192)</f>
        <v>32812</v>
      </c>
      <c r="I192" s="17">
        <f t="shared" si="2"/>
        <v>0.7176</v>
      </c>
    </row>
    <row r="193" spans="1:9" ht="11.25">
      <c r="A193" s="4" t="s">
        <v>4</v>
      </c>
      <c r="B193" s="3">
        <v>56760</v>
      </c>
      <c r="D193" s="3">
        <f>480+39889+1518-19-51</f>
        <v>41817</v>
      </c>
      <c r="E193" s="3">
        <f>1723+21+409</f>
        <v>2153</v>
      </c>
      <c r="F193" s="3">
        <f t="shared" si="3"/>
        <v>43970</v>
      </c>
      <c r="I193" s="17">
        <f t="shared" si="2"/>
        <v>0.7747</v>
      </c>
    </row>
    <row r="194" spans="1:9" ht="11.25">
      <c r="A194" s="4" t="s">
        <v>5</v>
      </c>
      <c r="B194" s="3">
        <v>11855</v>
      </c>
      <c r="D194" s="59">
        <f>12+8928</f>
        <v>8940</v>
      </c>
      <c r="E194" s="59">
        <f>70+7</f>
        <v>77</v>
      </c>
      <c r="F194" s="3">
        <f t="shared" si="3"/>
        <v>9017</v>
      </c>
      <c r="I194" s="17">
        <f t="shared" si="2"/>
        <v>0.7606</v>
      </c>
    </row>
    <row r="195" spans="1:9" ht="11.25">
      <c r="A195" s="2" t="s">
        <v>49</v>
      </c>
      <c r="B195" s="12">
        <v>6373</v>
      </c>
      <c r="C195" s="12"/>
      <c r="D195" s="75">
        <f>20+12585-D194</f>
        <v>3665</v>
      </c>
      <c r="E195" s="75">
        <f>384+23-E194</f>
        <v>330</v>
      </c>
      <c r="F195" s="12">
        <f t="shared" si="3"/>
        <v>3995</v>
      </c>
      <c r="G195" s="2"/>
      <c r="H195" s="12"/>
      <c r="I195" s="51">
        <f>ROUND(F195/B195,4)</f>
        <v>0.6269</v>
      </c>
    </row>
    <row r="196" spans="1:9" ht="11.25">
      <c r="A196" s="4" t="s">
        <v>6</v>
      </c>
      <c r="B196" s="3">
        <v>15764</v>
      </c>
      <c r="D196" s="3">
        <f>82+12639</f>
        <v>12721</v>
      </c>
      <c r="E196" s="3">
        <f>17+1</f>
        <v>18</v>
      </c>
      <c r="F196" s="3">
        <f t="shared" si="3"/>
        <v>12739</v>
      </c>
      <c r="I196" s="17">
        <f t="shared" si="2"/>
        <v>0.8081</v>
      </c>
    </row>
    <row r="197" spans="1:9" ht="11.25">
      <c r="A197" s="2" t="s">
        <v>50</v>
      </c>
      <c r="B197" s="12">
        <v>20511</v>
      </c>
      <c r="C197" s="12"/>
      <c r="D197" s="12">
        <f>39+11597</f>
        <v>11636</v>
      </c>
      <c r="E197" s="12">
        <f>1452+170+38</f>
        <v>1660</v>
      </c>
      <c r="F197" s="12">
        <f t="shared" si="3"/>
        <v>13296</v>
      </c>
      <c r="G197" s="2"/>
      <c r="H197" s="12"/>
      <c r="I197" s="51">
        <f t="shared" si="2"/>
        <v>0.6482</v>
      </c>
    </row>
    <row r="198" spans="2:6" ht="11.25">
      <c r="B198" s="36"/>
      <c r="D198" s="16"/>
      <c r="E198" s="3"/>
      <c r="F198" s="3"/>
    </row>
    <row r="199" spans="1:9" ht="11.25">
      <c r="A199" s="4" t="s">
        <v>7</v>
      </c>
      <c r="B199" s="3">
        <f>SUM(B190:B198)</f>
        <v>329034</v>
      </c>
      <c r="D199" s="3">
        <f>SUM(D190:D198)</f>
        <v>230259</v>
      </c>
      <c r="E199" s="3">
        <f>SUM(E190:E198)</f>
        <v>9199</v>
      </c>
      <c r="F199" s="3">
        <f>SUM(F190:F198)</f>
        <v>239458</v>
      </c>
      <c r="G199" s="3"/>
      <c r="I199" s="17">
        <f t="shared" si="2"/>
        <v>0.7278</v>
      </c>
    </row>
    <row r="200" spans="2:13" s="29" customFormat="1" ht="11.25">
      <c r="B200" s="28"/>
      <c r="C200" s="27"/>
      <c r="D200" s="44">
        <f>D199/F199</f>
        <v>0.9615840773747379</v>
      </c>
      <c r="E200" s="44">
        <f>E199/F199</f>
        <v>0.03841592262526205</v>
      </c>
      <c r="F200" s="45">
        <f>SUM(D200:E200)</f>
        <v>1</v>
      </c>
      <c r="H200" s="27"/>
      <c r="I200" s="38"/>
      <c r="J200" s="27"/>
      <c r="K200" s="27"/>
      <c r="L200" s="46"/>
      <c r="M200" s="46"/>
    </row>
    <row r="203" spans="1:9" ht="11.25">
      <c r="A203" s="4" t="s">
        <v>73</v>
      </c>
      <c r="B203" s="3">
        <f>B195+B197</f>
        <v>26884</v>
      </c>
      <c r="D203" s="3">
        <f>D195+D197</f>
        <v>15301</v>
      </c>
      <c r="E203" s="3">
        <f>E195+E197</f>
        <v>1990</v>
      </c>
      <c r="F203" s="3">
        <f>SUM(D203:E203)</f>
        <v>17291</v>
      </c>
      <c r="I203" s="17">
        <f>ROUND(F203/B203,4)</f>
        <v>0.6432</v>
      </c>
    </row>
    <row r="204" spans="2:13" s="29" customFormat="1" ht="11.25">
      <c r="B204" s="28"/>
      <c r="C204" s="27"/>
      <c r="D204" s="44">
        <f>D203/F203</f>
        <v>0.884911225493031</v>
      </c>
      <c r="E204" s="44">
        <f>E203/F203</f>
        <v>0.11508877450696894</v>
      </c>
      <c r="F204" s="45">
        <f>SUM(D204:E204)</f>
        <v>1</v>
      </c>
      <c r="H204" s="27"/>
      <c r="I204" s="38"/>
      <c r="J204" s="27"/>
      <c r="K204" s="27"/>
      <c r="L204" s="46"/>
      <c r="M204" s="46"/>
    </row>
    <row r="206" spans="1:9" ht="11.25">
      <c r="A206" s="4" t="s">
        <v>74</v>
      </c>
      <c r="B206" s="3">
        <f>B199-B203</f>
        <v>302150</v>
      </c>
      <c r="D206" s="3">
        <f>D199-D203</f>
        <v>214958</v>
      </c>
      <c r="E206" s="3">
        <f>E199-E203</f>
        <v>7209</v>
      </c>
      <c r="F206" s="3">
        <f>SUM(D206:E206)</f>
        <v>222167</v>
      </c>
      <c r="I206" s="17">
        <f>ROUND(F206/B206,4)</f>
        <v>0.7353</v>
      </c>
    </row>
    <row r="207" spans="4:6" ht="11.25">
      <c r="D207" s="44">
        <f>D206/F206</f>
        <v>0.9675514365319782</v>
      </c>
      <c r="E207" s="44">
        <f>E206/F206</f>
        <v>0.0324485634680218</v>
      </c>
      <c r="F207" s="45">
        <f>SUM(D207:E207)</f>
        <v>1</v>
      </c>
    </row>
    <row r="209" spans="1:9" ht="11.25">
      <c r="A209" s="56" t="s">
        <v>49</v>
      </c>
      <c r="B209" s="57">
        <v>6373</v>
      </c>
      <c r="C209" s="57"/>
      <c r="D209" s="55" t="s">
        <v>88</v>
      </c>
      <c r="E209" s="57"/>
      <c r="F209" s="57"/>
      <c r="G209" s="2"/>
      <c r="H209" s="12"/>
      <c r="I209" s="51"/>
    </row>
  </sheetData>
  <mergeCells count="2">
    <mergeCell ref="A4:L4"/>
    <mergeCell ref="A5:L5"/>
  </mergeCells>
  <printOptions horizontalCentered="1"/>
  <pageMargins left="0" right="0" top="0.7874015748031497" bottom="0.3937007874015748" header="0.5118110236220472" footer="0.5118110236220472"/>
  <pageSetup horizontalDpi="600" verticalDpi="600" orientation="portrait" paperSize="9" scale="90" r:id="rId3"/>
  <headerFooter alignWithMargins="0">
    <oddHeader>&amp;R&amp;P</oddHeader>
  </headerFooter>
  <rowBreaks count="3" manualBreakCount="3">
    <brk id="66" max="255" man="1"/>
    <brk id="114" max="255" man="1"/>
    <brk id="17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9.140625" defaultRowHeight="12.75"/>
  <cols>
    <col min="2" max="2" width="23.7109375" style="0" customWidth="1"/>
    <col min="3" max="3" width="13.28125" style="71" customWidth="1"/>
    <col min="4" max="5" width="13.28125" style="13" customWidth="1"/>
    <col min="6" max="6" width="13.28125" style="0" customWidth="1"/>
  </cols>
  <sheetData>
    <row r="1" spans="1:6" ht="18">
      <c r="A1" s="77" t="s">
        <v>85</v>
      </c>
      <c r="B1" s="78"/>
      <c r="C1" s="78"/>
      <c r="D1" s="78"/>
      <c r="E1" s="78"/>
      <c r="F1" s="78"/>
    </row>
    <row r="4" spans="3:6" ht="12.75">
      <c r="C4" s="65" t="s">
        <v>38</v>
      </c>
      <c r="D4" s="34" t="s">
        <v>40</v>
      </c>
      <c r="E4" s="34" t="s">
        <v>39</v>
      </c>
      <c r="F4" s="33" t="s">
        <v>41</v>
      </c>
    </row>
    <row r="6" spans="1:6" ht="12.75">
      <c r="A6" t="s">
        <v>14</v>
      </c>
      <c r="B6" t="s">
        <v>15</v>
      </c>
      <c r="C6" s="66">
        <v>1183338</v>
      </c>
      <c r="D6" s="47">
        <v>30533</v>
      </c>
      <c r="E6" s="47">
        <v>6152</v>
      </c>
      <c r="F6" s="47">
        <f>SUM(D6:E6)</f>
        <v>36685</v>
      </c>
    </row>
    <row r="7" spans="2:6" ht="12.75">
      <c r="B7" t="s">
        <v>19</v>
      </c>
      <c r="C7" s="66">
        <v>73794</v>
      </c>
      <c r="D7" s="47">
        <v>674</v>
      </c>
      <c r="E7" s="47">
        <v>99</v>
      </c>
      <c r="F7" s="47">
        <f>SUM(D7:E7)</f>
        <v>773</v>
      </c>
    </row>
    <row r="8" spans="2:6" ht="12.75">
      <c r="B8" t="s">
        <v>20</v>
      </c>
      <c r="C8" s="66">
        <v>508235</v>
      </c>
      <c r="D8" s="47">
        <v>7278</v>
      </c>
      <c r="E8" s="47">
        <v>4074</v>
      </c>
      <c r="F8" s="47">
        <f>SUM(D8:E8)</f>
        <v>11352</v>
      </c>
    </row>
    <row r="9" spans="2:6" ht="12.75">
      <c r="B9" t="s">
        <v>16</v>
      </c>
      <c r="C9" s="66">
        <v>538672</v>
      </c>
      <c r="D9" s="47">
        <v>1535</v>
      </c>
      <c r="E9" s="47">
        <v>354</v>
      </c>
      <c r="F9" s="47">
        <f>SUM(D9:E9)</f>
        <v>1889</v>
      </c>
    </row>
    <row r="10" spans="2:6" ht="12.75">
      <c r="B10" t="s">
        <v>17</v>
      </c>
      <c r="C10" s="66">
        <v>71419</v>
      </c>
      <c r="D10" s="47">
        <v>6016</v>
      </c>
      <c r="E10" s="47">
        <v>922</v>
      </c>
      <c r="F10" s="47">
        <f>SUM(D10:E10)</f>
        <v>6938</v>
      </c>
    </row>
    <row r="11" spans="3:6" ht="4.5" customHeight="1">
      <c r="C11" s="66"/>
      <c r="D11" s="47"/>
      <c r="E11" s="47"/>
      <c r="F11" s="49"/>
    </row>
    <row r="12" spans="2:6" ht="12.75">
      <c r="B12" t="s">
        <v>18</v>
      </c>
      <c r="C12" s="67">
        <f>SUM(C6:C11)</f>
        <v>2375458</v>
      </c>
      <c r="D12" s="47">
        <f>SUM(D6:D10)</f>
        <v>46036</v>
      </c>
      <c r="E12" s="47">
        <f>SUM(E6:E10)</f>
        <v>11601</v>
      </c>
      <c r="F12" s="48">
        <f>SUM(D12:E12)</f>
        <v>57637</v>
      </c>
    </row>
    <row r="13" spans="3:6" ht="12.75">
      <c r="C13" s="68"/>
      <c r="D13" s="47"/>
      <c r="E13" s="47"/>
      <c r="F13" s="49"/>
    </row>
    <row r="14" spans="1:6" ht="12.75">
      <c r="A14" t="s">
        <v>2</v>
      </c>
      <c r="B14" t="s">
        <v>15</v>
      </c>
      <c r="C14" s="69">
        <v>458362</v>
      </c>
      <c r="D14" s="47">
        <v>15379</v>
      </c>
      <c r="E14" s="47">
        <v>3501</v>
      </c>
      <c r="F14" s="47">
        <f>SUM(D14:E14)</f>
        <v>18880</v>
      </c>
    </row>
    <row r="15" spans="2:6" ht="12.75">
      <c r="B15" t="s">
        <v>16</v>
      </c>
      <c r="C15" s="69">
        <v>-97307</v>
      </c>
      <c r="D15" s="47">
        <v>1858</v>
      </c>
      <c r="E15" s="47">
        <v>601</v>
      </c>
      <c r="F15" s="47">
        <f>SUM(D15:E15)</f>
        <v>2459</v>
      </c>
    </row>
    <row r="16" spans="2:6" ht="12.75">
      <c r="B16" t="s">
        <v>17</v>
      </c>
      <c r="C16" s="69">
        <v>1216</v>
      </c>
      <c r="D16" s="47">
        <v>7744</v>
      </c>
      <c r="E16" s="47">
        <v>3273</v>
      </c>
      <c r="F16" s="47">
        <f>SUM(D16:E16)</f>
        <v>11017</v>
      </c>
    </row>
    <row r="17" spans="3:6" ht="4.5" customHeight="1">
      <c r="C17" s="69"/>
      <c r="D17" s="47"/>
      <c r="E17" s="47"/>
      <c r="F17" s="49"/>
    </row>
    <row r="18" spans="2:6" ht="12.75">
      <c r="B18" t="s">
        <v>18</v>
      </c>
      <c r="C18" s="67">
        <f>SUM(C14:C17)</f>
        <v>362271</v>
      </c>
      <c r="D18" s="47">
        <f>SUM(D14:D17)</f>
        <v>24981</v>
      </c>
      <c r="E18" s="47">
        <f>SUM(E14:E17)</f>
        <v>7375</v>
      </c>
      <c r="F18" s="48">
        <f>SUM(F14:F17)</f>
        <v>32356</v>
      </c>
    </row>
    <row r="19" spans="3:6" ht="12.75">
      <c r="C19" s="68"/>
      <c r="D19" s="47"/>
      <c r="E19" s="47"/>
      <c r="F19" s="49"/>
    </row>
    <row r="20" spans="1:6" ht="12.75">
      <c r="A20" t="s">
        <v>3</v>
      </c>
      <c r="B20" t="s">
        <v>15</v>
      </c>
      <c r="C20" s="69">
        <v>691515</v>
      </c>
      <c r="D20" s="47">
        <v>14362</v>
      </c>
      <c r="E20" s="47">
        <v>3546</v>
      </c>
      <c r="F20" s="47">
        <f>SUM(D20:E20)</f>
        <v>17908</v>
      </c>
    </row>
    <row r="21" spans="2:6" ht="12.75">
      <c r="B21" t="s">
        <v>16</v>
      </c>
      <c r="C21" s="69">
        <v>171618</v>
      </c>
      <c r="D21" s="47">
        <v>1640</v>
      </c>
      <c r="E21" s="47">
        <v>220</v>
      </c>
      <c r="F21" s="47">
        <f>SUM(D21:E21)</f>
        <v>1860</v>
      </c>
    </row>
    <row r="22" spans="2:6" ht="12.75">
      <c r="B22" t="s">
        <v>17</v>
      </c>
      <c r="C22" s="69">
        <v>89954</v>
      </c>
      <c r="D22" s="47">
        <v>4929</v>
      </c>
      <c r="E22" s="47">
        <v>229</v>
      </c>
      <c r="F22" s="47">
        <f>SUM(D22:E22)</f>
        <v>5158</v>
      </c>
    </row>
    <row r="23" spans="3:6" ht="4.5" customHeight="1">
      <c r="C23" s="69"/>
      <c r="D23" s="47"/>
      <c r="E23" s="47"/>
      <c r="F23" s="49"/>
    </row>
    <row r="24" spans="2:6" ht="12.75">
      <c r="B24" t="s">
        <v>18</v>
      </c>
      <c r="C24" s="67">
        <f>SUM(C20:C23)</f>
        <v>953087</v>
      </c>
      <c r="D24" s="47">
        <f>SUM(D20:D23)</f>
        <v>20931</v>
      </c>
      <c r="E24" s="47">
        <f>SUM(E20:E23)</f>
        <v>3995</v>
      </c>
      <c r="F24" s="48">
        <f>SUM(F20:F23)</f>
        <v>24926</v>
      </c>
    </row>
    <row r="25" spans="3:6" ht="12.75">
      <c r="C25" s="68"/>
      <c r="D25" s="47"/>
      <c r="E25" s="47"/>
      <c r="F25" s="49"/>
    </row>
    <row r="26" spans="1:6" ht="12.75">
      <c r="A26" t="s">
        <v>4</v>
      </c>
      <c r="B26" t="s">
        <v>15</v>
      </c>
      <c r="C26" s="69">
        <v>637835</v>
      </c>
      <c r="D26" s="47">
        <v>14221</v>
      </c>
      <c r="E26" s="47">
        <v>2184</v>
      </c>
      <c r="F26" s="47">
        <f>SUM(D26:E26)</f>
        <v>16405</v>
      </c>
    </row>
    <row r="27" spans="2:6" ht="12.75">
      <c r="B27" t="s">
        <v>16</v>
      </c>
      <c r="C27" s="69">
        <v>49258</v>
      </c>
      <c r="D27" s="47">
        <v>563</v>
      </c>
      <c r="E27" s="47">
        <v>80</v>
      </c>
      <c r="F27" s="47">
        <f>SUM(D27:E27)</f>
        <v>643</v>
      </c>
    </row>
    <row r="28" spans="2:6" ht="12.75">
      <c r="B28" t="s">
        <v>17</v>
      </c>
      <c r="C28" s="69">
        <v>-392894</v>
      </c>
      <c r="D28" s="47">
        <v>3509</v>
      </c>
      <c r="E28" s="47">
        <v>950</v>
      </c>
      <c r="F28" s="47">
        <f>SUM(D28:E28)</f>
        <v>4459</v>
      </c>
    </row>
    <row r="29" spans="3:6" ht="4.5" customHeight="1">
      <c r="C29" s="69"/>
      <c r="D29" s="47"/>
      <c r="E29" s="47"/>
      <c r="F29" s="49"/>
    </row>
    <row r="30" spans="2:6" ht="12.75">
      <c r="B30" t="s">
        <v>18</v>
      </c>
      <c r="C30" s="67">
        <f>SUM(C26:C29)</f>
        <v>294199</v>
      </c>
      <c r="D30" s="47">
        <f>SUM(D26:D29)</f>
        <v>18293</v>
      </c>
      <c r="E30" s="47">
        <f>SUM(E26:E29)</f>
        <v>3214</v>
      </c>
      <c r="F30" s="48">
        <f>SUM(F26:F29)</f>
        <v>21507</v>
      </c>
    </row>
    <row r="31" spans="3:6" ht="12.75">
      <c r="C31" s="68"/>
      <c r="D31" s="47"/>
      <c r="E31" s="47"/>
      <c r="F31" s="49"/>
    </row>
    <row r="32" spans="1:6" ht="12.75">
      <c r="A32" t="s">
        <v>5</v>
      </c>
      <c r="B32" t="s">
        <v>15</v>
      </c>
      <c r="C32" s="67">
        <v>101826</v>
      </c>
      <c r="D32" s="47">
        <v>1938</v>
      </c>
      <c r="E32" s="47">
        <v>256</v>
      </c>
      <c r="F32" s="48">
        <f>SUM(D32:E32)</f>
        <v>2194</v>
      </c>
    </row>
    <row r="33" spans="3:6" ht="12.75">
      <c r="C33" s="68"/>
      <c r="D33" s="47"/>
      <c r="E33" s="47"/>
      <c r="F33" s="49"/>
    </row>
    <row r="34" spans="1:6" ht="12.75">
      <c r="A34" t="s">
        <v>6</v>
      </c>
      <c r="B34" t="s">
        <v>15</v>
      </c>
      <c r="C34" s="67">
        <v>165124</v>
      </c>
      <c r="D34" s="47">
        <v>2926</v>
      </c>
      <c r="E34" s="47">
        <v>1014</v>
      </c>
      <c r="F34" s="48">
        <f>SUM(D34:E34)</f>
        <v>3940</v>
      </c>
    </row>
    <row r="35" spans="3:6" ht="12.75">
      <c r="C35" s="68"/>
      <c r="D35" s="47"/>
      <c r="E35" s="47"/>
      <c r="F35" s="49"/>
    </row>
    <row r="36" spans="3:6" ht="12.75">
      <c r="C36" s="67"/>
      <c r="D36" s="47"/>
      <c r="E36" s="47"/>
      <c r="F36" s="48"/>
    </row>
    <row r="37" spans="3:6" ht="12.75">
      <c r="C37" s="67"/>
      <c r="D37" s="47"/>
      <c r="E37" s="47"/>
      <c r="F37" s="50"/>
    </row>
    <row r="38" spans="3:6" ht="12.75">
      <c r="C38" s="68"/>
      <c r="D38" s="47"/>
      <c r="E38" s="47"/>
      <c r="F38" s="50"/>
    </row>
    <row r="39" spans="1:6" ht="12.75">
      <c r="A39" s="14" t="s">
        <v>7</v>
      </c>
      <c r="C39" s="67">
        <f>C36+C34+C32+C30+C24+C18+C12</f>
        <v>4251965</v>
      </c>
      <c r="D39" s="47">
        <f>D36+D34+D32+D30+D24+D18+D12</f>
        <v>115105</v>
      </c>
      <c r="E39" s="47">
        <f>E36+E34+E32+E30+E24+E18+E12</f>
        <v>27455</v>
      </c>
      <c r="F39" s="48">
        <f>F36+F34+F32+F30+F24+F18+F12</f>
        <v>142560</v>
      </c>
    </row>
    <row r="40" spans="3:6" ht="12.75">
      <c r="C40" s="68"/>
      <c r="D40" s="47"/>
      <c r="E40" s="47"/>
      <c r="F40" s="49"/>
    </row>
    <row r="41" spans="3:6" ht="12.75">
      <c r="C41" s="68"/>
      <c r="D41" s="47"/>
      <c r="E41" s="47"/>
      <c r="F41" s="47"/>
    </row>
    <row r="42" spans="1:6" s="14" customFormat="1" ht="12.75">
      <c r="A42" s="14" t="s">
        <v>43</v>
      </c>
      <c r="C42" s="70">
        <f>ROUND(C39/F39,4)</f>
        <v>29.8258</v>
      </c>
      <c r="D42" s="48"/>
      <c r="E42" s="48"/>
      <c r="F42" s="50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90" zoomScaleNormal="90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6" width="11.7109375" style="30" customWidth="1"/>
    <col min="7" max="8" width="9.140625" style="30" customWidth="1"/>
    <col min="10" max="10" width="13.140625" style="0" bestFit="1" customWidth="1"/>
  </cols>
  <sheetData>
    <row r="1" spans="1:6" ht="18">
      <c r="A1" s="77" t="s">
        <v>86</v>
      </c>
      <c r="B1" s="77"/>
      <c r="C1" s="77"/>
      <c r="D1" s="77"/>
      <c r="E1" s="77"/>
      <c r="F1" s="77"/>
    </row>
    <row r="4" spans="2:7" ht="12.75">
      <c r="B4" s="31" t="s">
        <v>32</v>
      </c>
      <c r="C4" s="31" t="s">
        <v>44</v>
      </c>
      <c r="D4" s="31" t="s">
        <v>35</v>
      </c>
      <c r="E4" s="31" t="s">
        <v>37</v>
      </c>
      <c r="F4" s="31" t="s">
        <v>32</v>
      </c>
      <c r="G4" s="31"/>
    </row>
    <row r="5" spans="2:7" ht="12.75">
      <c r="B5" s="31" t="s">
        <v>33</v>
      </c>
      <c r="C5" s="31" t="s">
        <v>46</v>
      </c>
      <c r="D5" s="31" t="s">
        <v>36</v>
      </c>
      <c r="E5" s="31" t="s">
        <v>33</v>
      </c>
      <c r="F5" s="31" t="s">
        <v>34</v>
      </c>
      <c r="G5" s="31"/>
    </row>
    <row r="6" spans="2:7" ht="12.75">
      <c r="B6" s="31"/>
      <c r="C6" s="31"/>
      <c r="D6" s="31"/>
      <c r="E6" s="31"/>
      <c r="F6" s="32">
        <v>0.05</v>
      </c>
      <c r="G6" s="31"/>
    </row>
    <row r="7" spans="2:7" ht="12.75">
      <c r="B7" s="31"/>
      <c r="C7" s="31"/>
      <c r="D7" s="31"/>
      <c r="E7" s="31"/>
      <c r="F7" s="32">
        <v>0.01</v>
      </c>
      <c r="G7" s="31"/>
    </row>
    <row r="9" spans="1:11" ht="12.75">
      <c r="A9" t="s">
        <v>14</v>
      </c>
      <c r="B9" s="58">
        <v>110989.6</v>
      </c>
      <c r="C9" s="54">
        <f>C19-C10-C11-C12-C13-C15-C16-C14</f>
        <v>2942.3999999999996</v>
      </c>
      <c r="D9" s="58">
        <v>12087.5</v>
      </c>
      <c r="E9" s="58">
        <f aca="true" t="shared" si="0" ref="E9:E15">B9+C9-D9</f>
        <v>101844.5</v>
      </c>
      <c r="F9" s="30">
        <f>ROUND(E9*F$6,1)</f>
        <v>5092.2</v>
      </c>
      <c r="J9" s="62"/>
      <c r="K9" s="63"/>
    </row>
    <row r="10" spans="1:11" ht="12.75">
      <c r="A10" t="s">
        <v>45</v>
      </c>
      <c r="B10" s="58">
        <f>73775.9+17587.4</f>
        <v>91363.29999999999</v>
      </c>
      <c r="C10" s="54">
        <f>ROUND(C$19*0.377398,1)</f>
        <v>3235.2</v>
      </c>
      <c r="D10" s="58">
        <f>8552+184.1</f>
        <v>8736.1</v>
      </c>
      <c r="E10" s="58">
        <f t="shared" si="0"/>
        <v>85862.39999999998</v>
      </c>
      <c r="F10" s="30">
        <f>ROUND(E10*F$6,1)</f>
        <v>4293.1</v>
      </c>
      <c r="J10" s="62"/>
      <c r="K10" s="63"/>
    </row>
    <row r="11" spans="1:11" ht="12.75">
      <c r="A11" t="s">
        <v>3</v>
      </c>
      <c r="B11" s="58">
        <v>49999.7</v>
      </c>
      <c r="C11" s="54">
        <f>ROUND(C$19*0.116225,1)</f>
        <v>996.3</v>
      </c>
      <c r="D11" s="58">
        <v>8541.5</v>
      </c>
      <c r="E11" s="58">
        <f t="shared" si="0"/>
        <v>42454.5</v>
      </c>
      <c r="F11" s="30">
        <f>ROUND(E11*F$6,1)</f>
        <v>2122.7</v>
      </c>
      <c r="J11" s="62"/>
      <c r="K11" s="64"/>
    </row>
    <row r="12" spans="1:6" ht="12.75">
      <c r="A12" t="s">
        <v>4</v>
      </c>
      <c r="B12" s="58">
        <v>49699.6</v>
      </c>
      <c r="C12" s="54">
        <f>ROUND(C$19*0.138795,1)</f>
        <v>1189.8</v>
      </c>
      <c r="D12" s="58">
        <v>6429.2</v>
      </c>
      <c r="E12" s="58">
        <f t="shared" si="0"/>
        <v>44460.200000000004</v>
      </c>
      <c r="F12" s="30">
        <f>ROUND(E12*F$6,1)</f>
        <v>2223</v>
      </c>
    </row>
    <row r="13" spans="1:6" ht="12.75">
      <c r="A13" t="s">
        <v>5</v>
      </c>
      <c r="B13" s="54">
        <f>8822.9-B14</f>
        <v>5258.4</v>
      </c>
      <c r="C13" s="54">
        <f>ROUND(C$19*0.009431*0.596,1)</f>
        <v>48.2</v>
      </c>
      <c r="D13" s="54">
        <f>316.4-D14</f>
        <v>188.59999999999997</v>
      </c>
      <c r="E13" s="58">
        <f t="shared" si="0"/>
        <v>5117.999999999999</v>
      </c>
      <c r="F13" s="30">
        <f>ROUND(E13*F$7,1)</f>
        <v>51.2</v>
      </c>
    </row>
    <row r="14" spans="1:8" s="40" customFormat="1" ht="12.75">
      <c r="A14" s="42" t="s">
        <v>49</v>
      </c>
      <c r="B14" s="54">
        <f>ROUND(8822.9*0.404,1)</f>
        <v>3564.5</v>
      </c>
      <c r="C14" s="54">
        <f>ROUND(C$19*0.009431*0.404,1)</f>
        <v>32.7</v>
      </c>
      <c r="D14" s="54">
        <f>ROUND(316.4*0.404,1)</f>
        <v>127.8</v>
      </c>
      <c r="E14" s="54">
        <f t="shared" si="0"/>
        <v>3469.3999999999996</v>
      </c>
      <c r="F14" s="43">
        <f>ROUND(E14*F$7,1)</f>
        <v>34.7</v>
      </c>
      <c r="G14" s="41"/>
      <c r="H14" s="41"/>
    </row>
    <row r="15" spans="1:6" ht="12.75">
      <c r="A15" t="s">
        <v>6</v>
      </c>
      <c r="B15" s="58">
        <v>7945</v>
      </c>
      <c r="C15" s="54">
        <f>ROUND(C$19*0.010878,1)</f>
        <v>93.2</v>
      </c>
      <c r="D15" s="58">
        <v>235.1</v>
      </c>
      <c r="E15" s="58">
        <f t="shared" si="0"/>
        <v>7803.099999999999</v>
      </c>
      <c r="F15" s="30">
        <f>ROUND(E15*F$7,1)</f>
        <v>78</v>
      </c>
    </row>
    <row r="16" spans="1:6" ht="12.75">
      <c r="A16" t="s">
        <v>47</v>
      </c>
      <c r="B16" s="58">
        <v>8744.3</v>
      </c>
      <c r="C16" s="54">
        <f>ROUND(C$19*0.004023,1)</f>
        <v>34.5</v>
      </c>
      <c r="D16" s="58">
        <v>52</v>
      </c>
      <c r="E16" s="58">
        <f>B16+C16-D16</f>
        <v>8726.8</v>
      </c>
      <c r="F16" s="30">
        <f>ROUND(E16*F$7,1)</f>
        <v>87.3</v>
      </c>
    </row>
    <row r="17" spans="2:5" ht="12.75">
      <c r="B17" s="58"/>
      <c r="C17" s="54"/>
      <c r="D17" s="58"/>
      <c r="E17" s="58"/>
    </row>
    <row r="18" spans="2:5" ht="12.75">
      <c r="B18" s="58"/>
      <c r="C18" s="54"/>
      <c r="D18" s="58"/>
      <c r="E18" s="58"/>
    </row>
    <row r="19" spans="1:6" ht="12.75">
      <c r="A19" t="s">
        <v>31</v>
      </c>
      <c r="B19" s="58">
        <f>SUM(B9:B18)</f>
        <v>327564.39999999997</v>
      </c>
      <c r="C19" s="54">
        <v>8572.3</v>
      </c>
      <c r="D19" s="58">
        <f>SUM(D9:D18)</f>
        <v>36397.799999999996</v>
      </c>
      <c r="E19" s="58">
        <f>SUM(E9:E18)</f>
        <v>299738.89999999997</v>
      </c>
      <c r="F19" s="30">
        <f>SUM(F9:F18)</f>
        <v>13982.2</v>
      </c>
    </row>
    <row r="26" ht="12.75">
      <c r="C26" s="52"/>
    </row>
    <row r="27" ht="12.75">
      <c r="C27" s="52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2" sqref="A2"/>
    </sheetView>
  </sheetViews>
  <sheetFormatPr defaultColWidth="9.140625" defaultRowHeight="12.75"/>
  <cols>
    <col min="1" max="1" width="13.421875" style="0" customWidth="1"/>
  </cols>
  <sheetData>
    <row r="1" spans="1:6" ht="18">
      <c r="A1" s="77" t="s">
        <v>87</v>
      </c>
      <c r="B1" s="78"/>
      <c r="C1" s="78"/>
      <c r="D1" s="78"/>
      <c r="E1" s="78"/>
      <c r="F1" s="78"/>
    </row>
    <row r="5" spans="1:6" ht="12.75">
      <c r="A5" s="26"/>
      <c r="B5" s="26" t="s">
        <v>14</v>
      </c>
      <c r="C5" s="26" t="s">
        <v>2</v>
      </c>
      <c r="D5" s="26" t="s">
        <v>3</v>
      </c>
      <c r="E5" s="26" t="s">
        <v>4</v>
      </c>
      <c r="F5" s="26" t="s">
        <v>31</v>
      </c>
    </row>
    <row r="8" spans="1:6" ht="12.75">
      <c r="A8" t="s">
        <v>38</v>
      </c>
      <c r="B8" s="47">
        <v>284800</v>
      </c>
      <c r="C8" s="53">
        <v>224600</v>
      </c>
      <c r="D8" s="47">
        <v>217900</v>
      </c>
      <c r="E8" s="47">
        <v>200600</v>
      </c>
      <c r="F8" s="13">
        <f>SUM(B8:E8)</f>
        <v>927900</v>
      </c>
    </row>
    <row r="9" spans="2:6" ht="12.75">
      <c r="B9" s="13"/>
      <c r="C9" s="13"/>
      <c r="D9" s="13"/>
      <c r="E9" s="13"/>
      <c r="F9" s="13"/>
    </row>
    <row r="10" spans="2:6" ht="12.75">
      <c r="B10" s="13"/>
      <c r="C10" s="13"/>
      <c r="D10" s="13"/>
      <c r="E10" s="13"/>
      <c r="F10" s="13"/>
    </row>
    <row r="11" spans="2:6" ht="12.75">
      <c r="B11" s="13"/>
      <c r="C11" s="13"/>
      <c r="D11" s="13"/>
      <c r="E11" s="13"/>
      <c r="F11" s="13"/>
    </row>
    <row r="12" spans="2:6" ht="12.75">
      <c r="B12" s="13"/>
      <c r="C12" s="13"/>
      <c r="D12" s="13"/>
      <c r="E12" s="13"/>
      <c r="F12" s="13"/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 Ospedaliero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EOC</dc:creator>
  <cp:keywords/>
  <dc:description/>
  <cp:lastModifiedBy>Agostinetti Jole / KXGC002</cp:lastModifiedBy>
  <cp:lastPrinted>2009-02-06T15:56:59Z</cp:lastPrinted>
  <dcterms:created xsi:type="dcterms:W3CDTF">2001-04-13T06:46:54Z</dcterms:created>
  <dcterms:modified xsi:type="dcterms:W3CDTF">2009-08-03T08:31:04Z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825517770</vt:i4>
  </property>
  <property fmtid="{D5CDD505-2E9C-101B-9397-08002B2CF9AE}" pid="3" name="_EmailSubject">
    <vt:lpwstr>Files: consuntivo 08 EOC; Regol moratoria DL 55a LAMal</vt:lpwstr>
  </property>
  <property fmtid="{D5CDD505-2E9C-101B-9397-08002B2CF9AE}" pid="4" name="_AuthorEmail">
    <vt:lpwstr>fulvia.bognuda@ti.ch</vt:lpwstr>
  </property>
  <property fmtid="{D5CDD505-2E9C-101B-9397-08002B2CF9AE}" pid="5" name="_AuthorEmailDisplayName">
    <vt:lpwstr>Bognuda Fulvia</vt:lpwstr>
  </property>
  <property fmtid="{D5CDD505-2E9C-101B-9397-08002B2CF9AE}" pid="6" name="_ReviewingToolsShownOnce">
    <vt:lpwstr/>
  </property>
</Properties>
</file>